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xl/webextensions/taskpanes.xml" ContentType="application/vnd.ms-office.webextensiontaskpanes+xml"/>
  <Override PartName="/xl/webextensions/webextension1.xml" ContentType="application/vnd.ms-office.webextension+xml"/>
  <Override PartName="/xl/webextensions/webextension2.xml" ContentType="application/vnd.ms-office.webextensio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11/relationships/webextensiontaskpanes" Target="xl/webextensions/taskpanes.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5831"/>
  <workbookPr codeName="ThisWorkbook" defaultThemeVersion="166925"/>
  <mc:AlternateContent xmlns:mc="http://schemas.openxmlformats.org/markup-compatibility/2006">
    <mc:Choice Requires="x15">
      <x15ac:absPath xmlns:x15ac="http://schemas.microsoft.com/office/spreadsheetml/2010/11/ac" url="C:\Users\David\Desktop\"/>
    </mc:Choice>
  </mc:AlternateContent>
  <xr:revisionPtr revIDLastSave="0" documentId="13_ncr:1_{41CF1BD0-CC80-422C-9827-4B3B7867A04B}" xr6:coauthVersionLast="47" xr6:coauthVersionMax="47" xr10:uidLastSave="{00000000-0000-0000-0000-000000000000}"/>
  <bookViews>
    <workbookView xWindow="-108" yWindow="-108" windowWidth="23256" windowHeight="12720" firstSheet="1" activeTab="1" xr2:uid="{06042803-5F61-4388-A6A7-67D41A001002}"/>
  </bookViews>
  <sheets>
    <sheet name="Scott's Add-in Start up guide" sheetId="1" r:id="rId1"/>
    <sheet name="Information" sheetId="27" r:id="rId2"/>
    <sheet name="Trial Balance" sheetId="37" r:id="rId3"/>
    <sheet name="Account Types" sheetId="41" r:id="rId4"/>
    <sheet name="Archived Accounts" sheetId="42" r:id="rId5"/>
  </sheets>
  <definedNames>
    <definedName name="_xlnm._FilterDatabase" localSheetId="2" hidden="1">'Trial Balance'!$G$7:$G$200</definedName>
    <definedName name="OrgId">Information!$D$5</definedName>
    <definedName name="PeriodEnd">Information!$D$8</definedName>
    <definedName name="typId">tblTypes[ID]</definedName>
    <definedName name="XreCode">Information!$D$6</definedName>
    <definedName name="YearStart">Information!$D$9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8" i="27" l="1"/>
  <c r="E7" i="27" l="1"/>
  <c r="E8" i="27" l="1"/>
  <c r="F8" i="27"/>
  <c r="G87" i="37" l="1" a="1"/>
  <c r="G87" i="37" s="1"/>
  <c r="G88" i="37" a="1"/>
  <c r="G88" i="37" s="1"/>
  <c r="G89" i="37" a="1"/>
  <c r="G89" i="37" s="1"/>
  <c r="G90" i="37" a="1"/>
  <c r="G90" i="37" s="1"/>
  <c r="G91" i="37" a="1"/>
  <c r="G91" i="37" s="1"/>
  <c r="G92" i="37" a="1"/>
  <c r="G92" i="37" s="1"/>
  <c r="G93" i="37" a="1"/>
  <c r="G93" i="37" s="1"/>
  <c r="G94" i="37" a="1"/>
  <c r="G94" i="37" s="1"/>
  <c r="G95" i="37" a="1"/>
  <c r="G95" i="37" s="1"/>
  <c r="G96" i="37" a="1"/>
  <c r="G96" i="37" s="1"/>
  <c r="G97" i="37" a="1"/>
  <c r="G97" i="37" s="1"/>
  <c r="G98" i="37" a="1"/>
  <c r="G98" i="37" s="1"/>
  <c r="G99" i="37" a="1"/>
  <c r="G99" i="37" s="1"/>
  <c r="G100" i="37" a="1"/>
  <c r="G100" i="37" s="1"/>
  <c r="G101" i="37" a="1"/>
  <c r="G101" i="37" s="1"/>
  <c r="G102" i="37" a="1"/>
  <c r="G102" i="37" s="1"/>
  <c r="G103" i="37" a="1"/>
  <c r="G103" i="37" s="1"/>
  <c r="G104" i="37" a="1"/>
  <c r="G104" i="37" s="1"/>
  <c r="G105" i="37" a="1"/>
  <c r="G105" i="37" s="1"/>
  <c r="G106" i="37" a="1"/>
  <c r="G106" i="37" s="1"/>
  <c r="G107" i="37" a="1"/>
  <c r="G107" i="37" s="1"/>
  <c r="G108" i="37" a="1"/>
  <c r="G108" i="37" s="1"/>
  <c r="G109" i="37" a="1"/>
  <c r="G109" i="37" s="1"/>
  <c r="G110" i="37" a="1"/>
  <c r="G110" i="37" s="1"/>
  <c r="G111" i="37" a="1"/>
  <c r="G111" i="37" s="1"/>
  <c r="G112" i="37" a="1"/>
  <c r="G112" i="37" s="1"/>
  <c r="G113" i="37" a="1"/>
  <c r="G113" i="37" s="1"/>
  <c r="G114" i="37" a="1"/>
  <c r="G114" i="37" s="1"/>
  <c r="G115" i="37" a="1"/>
  <c r="G115" i="37" s="1"/>
  <c r="G116" i="37" a="1"/>
  <c r="G116" i="37" s="1"/>
  <c r="G117" i="37" a="1"/>
  <c r="G117" i="37" s="1"/>
  <c r="G118" i="37" a="1"/>
  <c r="G118" i="37" s="1"/>
  <c r="G119" i="37" a="1"/>
  <c r="G119" i="37" s="1"/>
  <c r="G120" i="37" a="1"/>
  <c r="G120" i="37" s="1"/>
  <c r="G121" i="37" a="1"/>
  <c r="G121" i="37" s="1"/>
  <c r="G122" i="37" a="1"/>
  <c r="G122" i="37" s="1"/>
  <c r="G123" i="37" a="1"/>
  <c r="G123" i="37" s="1"/>
  <c r="G124" i="37" a="1"/>
  <c r="G124" i="37" s="1"/>
  <c r="G125" i="37" a="1"/>
  <c r="G125" i="37" s="1"/>
  <c r="G126" i="37" a="1"/>
  <c r="G126" i="37" s="1"/>
  <c r="G127" i="37" a="1"/>
  <c r="G127" i="37" s="1"/>
  <c r="G128" i="37" a="1"/>
  <c r="G128" i="37" s="1"/>
  <c r="G129" i="37" a="1"/>
  <c r="G129" i="37" s="1"/>
  <c r="G130" i="37" a="1"/>
  <c r="G130" i="37" s="1"/>
  <c r="G131" i="37" a="1"/>
  <c r="G131" i="37" s="1"/>
  <c r="G132" i="37" a="1"/>
  <c r="G132" i="37" s="1"/>
  <c r="G133" i="37" a="1"/>
  <c r="G133" i="37" s="1"/>
  <c r="G134" i="37" a="1"/>
  <c r="G134" i="37" s="1"/>
  <c r="G135" i="37" a="1"/>
  <c r="G135" i="37" s="1"/>
  <c r="G136" i="37" a="1"/>
  <c r="G136" i="37" s="1"/>
  <c r="G137" i="37" a="1"/>
  <c r="G137" i="37" s="1"/>
  <c r="G138" i="37" a="1"/>
  <c r="G138" i="37" s="1"/>
  <c r="G139" i="37" a="1"/>
  <c r="G139" i="37" s="1"/>
  <c r="G140" i="37" a="1"/>
  <c r="G140" i="37" s="1"/>
  <c r="G141" i="37" a="1"/>
  <c r="G141" i="37" s="1"/>
  <c r="G142" i="37" a="1"/>
  <c r="G142" i="37" s="1"/>
  <c r="G143" i="37" a="1"/>
  <c r="G143" i="37" s="1"/>
  <c r="G144" i="37" a="1"/>
  <c r="G144" i="37" s="1"/>
  <c r="G145" i="37" a="1"/>
  <c r="G145" i="37" s="1"/>
  <c r="G146" i="37" a="1"/>
  <c r="G146" i="37" s="1"/>
  <c r="G147" i="37" a="1"/>
  <c r="G147" i="37" s="1"/>
  <c r="G148" i="37" a="1"/>
  <c r="G148" i="37" s="1"/>
  <c r="G149" i="37" a="1"/>
  <c r="G149" i="37" s="1"/>
  <c r="G150" i="37" a="1"/>
  <c r="G150" i="37" s="1"/>
  <c r="G151" i="37" a="1"/>
  <c r="G151" i="37" s="1"/>
  <c r="G152" i="37" a="1"/>
  <c r="G152" i="37" s="1"/>
  <c r="G153" i="37" a="1"/>
  <c r="G153" i="37" s="1"/>
  <c r="G154" i="37" a="1"/>
  <c r="G154" i="37" s="1"/>
  <c r="G155" i="37" a="1"/>
  <c r="G155" i="37" s="1"/>
  <c r="G156" i="37" a="1"/>
  <c r="G156" i="37" s="1"/>
  <c r="G157" i="37" a="1"/>
  <c r="G157" i="37" s="1"/>
  <c r="G158" i="37" a="1"/>
  <c r="G158" i="37" s="1"/>
  <c r="G159" i="37" a="1"/>
  <c r="G159" i="37" s="1"/>
  <c r="G160" i="37" a="1"/>
  <c r="G160" i="37" s="1"/>
  <c r="G161" i="37" a="1"/>
  <c r="G161" i="37" s="1"/>
  <c r="G162" i="37" a="1"/>
  <c r="G162" i="37" s="1"/>
  <c r="G163" i="37" a="1"/>
  <c r="G163" i="37" s="1"/>
  <c r="G164" i="37" a="1"/>
  <c r="G164" i="37" s="1"/>
  <c r="G165" i="37" a="1"/>
  <c r="G165" i="37" s="1"/>
  <c r="G166" i="37" a="1"/>
  <c r="G166" i="37" s="1"/>
  <c r="G167" i="37" a="1"/>
  <c r="G167" i="37" s="1"/>
  <c r="G168" i="37" a="1"/>
  <c r="G168" i="37" s="1"/>
  <c r="G169" i="37" a="1"/>
  <c r="G169" i="37" s="1"/>
  <c r="G170" i="37" a="1"/>
  <c r="G170" i="37" s="1"/>
  <c r="G171" i="37" a="1"/>
  <c r="G171" i="37" s="1"/>
  <c r="G172" i="37" a="1"/>
  <c r="G172" i="37" s="1"/>
  <c r="G173" i="37" a="1"/>
  <c r="G173" i="37" s="1"/>
  <c r="G174" i="37" a="1"/>
  <c r="G174" i="37" s="1"/>
  <c r="G175" i="37" a="1"/>
  <c r="G175" i="37" s="1"/>
  <c r="G176" i="37" a="1"/>
  <c r="G176" i="37" s="1"/>
  <c r="G177" i="37" a="1"/>
  <c r="G177" i="37" s="1"/>
  <c r="G178" i="37" a="1"/>
  <c r="G178" i="37" s="1"/>
  <c r="G179" i="37" a="1"/>
  <c r="G179" i="37" s="1"/>
  <c r="G180" i="37" a="1"/>
  <c r="G180" i="37" s="1"/>
  <c r="G181" i="37" a="1"/>
  <c r="G181" i="37" s="1"/>
  <c r="G182" i="37" a="1"/>
  <c r="G182" i="37" s="1"/>
  <c r="G183" i="37" a="1"/>
  <c r="G183" i="37" s="1"/>
  <c r="G184" i="37" a="1"/>
  <c r="G184" i="37" s="1"/>
  <c r="G185" i="37" a="1"/>
  <c r="G185" i="37" s="1"/>
  <c r="G186" i="37" a="1"/>
  <c r="G186" i="37" s="1"/>
  <c r="G187" i="37" a="1"/>
  <c r="G187" i="37" s="1"/>
  <c r="G188" i="37" a="1"/>
  <c r="G188" i="37" s="1"/>
  <c r="G189" i="37" a="1"/>
  <c r="G189" i="37" s="1"/>
  <c r="G190" i="37" a="1"/>
  <c r="G190" i="37" s="1"/>
  <c r="G191" i="37" a="1"/>
  <c r="G191" i="37" s="1"/>
  <c r="G192" i="37" a="1"/>
  <c r="G192" i="37" s="1"/>
  <c r="G193" i="37" a="1"/>
  <c r="G193" i="37" s="1"/>
  <c r="G194" i="37" a="1"/>
  <c r="G194" i="37" s="1"/>
  <c r="G195" i="37" a="1"/>
  <c r="G195" i="37" s="1"/>
  <c r="G196" i="37" a="1"/>
  <c r="G196" i="37" s="1"/>
  <c r="G197" i="37" a="1"/>
  <c r="G197" i="37" s="1"/>
  <c r="G198" i="37" a="1"/>
  <c r="G198" i="37" s="1"/>
  <c r="G199" i="37" a="1"/>
  <c r="G199" i="37" s="1"/>
  <c r="G200" i="37" a="1"/>
  <c r="G200" i="37" s="1"/>
  <c r="A8" i="37" a="1"/>
  <c r="A8" i="37" s="1"/>
  <c r="D8" i="37" l="1" a="1"/>
  <c r="D8" i="37" s="1"/>
  <c r="E6" i="27" a="1"/>
  <c r="E6" i="27" s="1"/>
  <c r="N8" i="37" a="1"/>
  <c r="N8" i="37" s="1"/>
  <c r="E8" i="37" a="1"/>
  <c r="E8" i="37" s="1"/>
  <c r="D2" i="42"/>
  <c r="D3" i="42"/>
  <c r="D4" i="42"/>
  <c r="D5" i="42"/>
  <c r="D6" i="42"/>
  <c r="B2" i="42" a="1"/>
  <c r="B2" i="42" s="1"/>
  <c r="B3" i="42" a="1"/>
  <c r="B3" i="42" s="1"/>
  <c r="B4" i="42" a="1"/>
  <c r="B4" i="42" s="1"/>
  <c r="B5" i="42" a="1"/>
  <c r="B5" i="42" s="1"/>
  <c r="B6" i="42" a="1"/>
  <c r="B6" i="42" s="1"/>
  <c r="X8" i="37" l="1"/>
  <c r="Z8" i="37" s="1" a="1"/>
  <c r="Z8" i="37" s="1"/>
  <c r="Y8" i="37" l="1" a="1"/>
  <c r="Y8" i="37" s="1"/>
  <c r="O8" i="37" a="1"/>
  <c r="O8" i="37" l="1"/>
  <c r="S8" i="37" a="1"/>
  <c r="S8" i="37" l="1"/>
  <c r="F8" i="37" a="1"/>
  <c r="F8" i="37" l="1"/>
  <c r="G38" i="37" a="1"/>
  <c r="G38" i="37" s="1"/>
  <c r="G29" i="37" a="1"/>
  <c r="G29" i="37" s="1"/>
  <c r="G17" i="37" a="1"/>
  <c r="G17" i="37" s="1"/>
  <c r="G9" i="37" a="1"/>
  <c r="G9" i="37" s="1"/>
  <c r="G36" i="37" a="1"/>
  <c r="G36" i="37" s="1"/>
  <c r="G24" i="37" a="1"/>
  <c r="G24" i="37" s="1"/>
  <c r="G40" i="37" a="1"/>
  <c r="G40" i="37" s="1"/>
  <c r="G16" i="37" a="1"/>
  <c r="G16" i="37" s="1"/>
  <c r="G30" i="37" a="1"/>
  <c r="G30" i="37" s="1"/>
  <c r="G13" i="37" a="1"/>
  <c r="G13" i="37" s="1"/>
  <c r="G22" i="37" a="1"/>
  <c r="G22" i="37" s="1"/>
  <c r="G20" i="37" a="1"/>
  <c r="G20" i="37" s="1"/>
  <c r="G35" i="37" a="1"/>
  <c r="G35" i="37" s="1"/>
  <c r="G12" i="37" a="1"/>
  <c r="G12" i="37" s="1"/>
  <c r="G26" i="37" a="1"/>
  <c r="G26" i="37" s="1"/>
  <c r="G15" i="37" a="1"/>
  <c r="G15" i="37" s="1"/>
  <c r="G18" i="37" a="1"/>
  <c r="G18" i="37" s="1"/>
  <c r="G19" i="37" a="1"/>
  <c r="G19" i="37" s="1"/>
  <c r="G39" i="37" a="1"/>
  <c r="G39" i="37" s="1"/>
  <c r="G21" i="37" a="1"/>
  <c r="G21" i="37" s="1"/>
  <c r="G33" i="37" a="1"/>
  <c r="G33" i="37" s="1"/>
  <c r="G31" i="37" a="1"/>
  <c r="G31" i="37" s="1"/>
  <c r="G25" i="37" a="1"/>
  <c r="G25" i="37" s="1"/>
  <c r="G10" i="37" a="1"/>
  <c r="G10" i="37" s="1"/>
  <c r="G28" i="37" a="1"/>
  <c r="G28" i="37" s="1"/>
  <c r="G14" i="37" a="1"/>
  <c r="G14" i="37" s="1"/>
  <c r="G32" i="37" a="1"/>
  <c r="G32" i="37" s="1"/>
  <c r="G23" i="37" a="1"/>
  <c r="G23" i="37" s="1"/>
  <c r="G11" i="37" a="1"/>
  <c r="G11" i="37" s="1"/>
  <c r="G34" i="37" a="1"/>
  <c r="G34" i="37" s="1"/>
  <c r="G27" i="37" a="1"/>
  <c r="G27" i="37" s="1"/>
  <c r="A3" i="37" l="1"/>
  <c r="F7" i="27"/>
  <c r="H9" i="37"/>
  <c r="K9" i="37" s="1"/>
  <c r="J9" i="37" s="1"/>
  <c r="H17" i="37"/>
  <c r="K17" i="37" s="1"/>
  <c r="J17" i="37" s="1"/>
  <c r="H25" i="37"/>
  <c r="K25" i="37" s="1"/>
  <c r="J25" i="37" s="1"/>
  <c r="H33" i="37"/>
  <c r="K33" i="37" s="1"/>
  <c r="J33" i="37" s="1"/>
  <c r="H89" i="37"/>
  <c r="K89" i="37" s="1"/>
  <c r="J89" i="37" s="1"/>
  <c r="H97" i="37"/>
  <c r="K97" i="37" s="1"/>
  <c r="J97" i="37" s="1"/>
  <c r="H105" i="37"/>
  <c r="K105" i="37" s="1"/>
  <c r="J105" i="37" s="1"/>
  <c r="H113" i="37"/>
  <c r="K113" i="37" s="1"/>
  <c r="J113" i="37" s="1"/>
  <c r="H121" i="37"/>
  <c r="K121" i="37" s="1"/>
  <c r="J121" i="37" s="1"/>
  <c r="H129" i="37"/>
  <c r="K129" i="37" s="1"/>
  <c r="J129" i="37" s="1"/>
  <c r="H137" i="37"/>
  <c r="K137" i="37" s="1"/>
  <c r="J137" i="37" s="1"/>
  <c r="H145" i="37"/>
  <c r="K145" i="37" s="1"/>
  <c r="J145" i="37" s="1"/>
  <c r="H153" i="37"/>
  <c r="K153" i="37" s="1"/>
  <c r="J153" i="37" s="1"/>
  <c r="H161" i="37"/>
  <c r="K161" i="37" s="1"/>
  <c r="J161" i="37" s="1"/>
  <c r="H169" i="37"/>
  <c r="K169" i="37" s="1"/>
  <c r="J169" i="37" s="1"/>
  <c r="H177" i="37"/>
  <c r="K177" i="37" s="1"/>
  <c r="J177" i="37" s="1"/>
  <c r="H185" i="37"/>
  <c r="K185" i="37" s="1"/>
  <c r="J185" i="37" s="1"/>
  <c r="H193" i="37"/>
  <c r="K193" i="37" s="1"/>
  <c r="J193" i="37" s="1"/>
  <c r="H39" i="37"/>
  <c r="K39" i="37" s="1"/>
  <c r="J39" i="37" s="1"/>
  <c r="H95" i="37"/>
  <c r="K95" i="37" s="1"/>
  <c r="J95" i="37" s="1"/>
  <c r="H159" i="37"/>
  <c r="K159" i="37" s="1"/>
  <c r="J159" i="37" s="1"/>
  <c r="H10" i="37"/>
  <c r="K10" i="37" s="1"/>
  <c r="J10" i="37" s="1"/>
  <c r="H18" i="37"/>
  <c r="K18" i="37" s="1"/>
  <c r="J18" i="37" s="1"/>
  <c r="H26" i="37"/>
  <c r="K26" i="37" s="1"/>
  <c r="J26" i="37" s="1"/>
  <c r="H34" i="37"/>
  <c r="K34" i="37" s="1"/>
  <c r="J34" i="37" s="1"/>
  <c r="H90" i="37"/>
  <c r="K90" i="37" s="1"/>
  <c r="J90" i="37" s="1"/>
  <c r="H98" i="37"/>
  <c r="K98" i="37" s="1"/>
  <c r="J98" i="37" s="1"/>
  <c r="H106" i="37"/>
  <c r="K106" i="37" s="1"/>
  <c r="J106" i="37" s="1"/>
  <c r="H114" i="37"/>
  <c r="K114" i="37" s="1"/>
  <c r="J114" i="37" s="1"/>
  <c r="H122" i="37"/>
  <c r="K122" i="37" s="1"/>
  <c r="J122" i="37" s="1"/>
  <c r="H130" i="37"/>
  <c r="K130" i="37" s="1"/>
  <c r="J130" i="37" s="1"/>
  <c r="H138" i="37"/>
  <c r="K138" i="37" s="1"/>
  <c r="J138" i="37" s="1"/>
  <c r="H146" i="37"/>
  <c r="K146" i="37" s="1"/>
  <c r="J146" i="37" s="1"/>
  <c r="H154" i="37"/>
  <c r="K154" i="37" s="1"/>
  <c r="J154" i="37" s="1"/>
  <c r="H162" i="37"/>
  <c r="K162" i="37" s="1"/>
  <c r="J162" i="37" s="1"/>
  <c r="H170" i="37"/>
  <c r="K170" i="37" s="1"/>
  <c r="J170" i="37" s="1"/>
  <c r="H178" i="37"/>
  <c r="K178" i="37" s="1"/>
  <c r="J178" i="37" s="1"/>
  <c r="H186" i="37"/>
  <c r="K186" i="37" s="1"/>
  <c r="J186" i="37" s="1"/>
  <c r="H194" i="37"/>
  <c r="K194" i="37" s="1"/>
  <c r="J194" i="37" s="1"/>
  <c r="H31" i="37"/>
  <c r="K31" i="37" s="1"/>
  <c r="J31" i="37" s="1"/>
  <c r="H103" i="37"/>
  <c r="K103" i="37" s="1"/>
  <c r="J103" i="37" s="1"/>
  <c r="H151" i="37"/>
  <c r="K151" i="37" s="1"/>
  <c r="J151" i="37" s="1"/>
  <c r="H191" i="37"/>
  <c r="K191" i="37" s="1"/>
  <c r="J191" i="37" s="1"/>
  <c r="H11" i="37"/>
  <c r="K11" i="37" s="1"/>
  <c r="J11" i="37" s="1"/>
  <c r="H19" i="37"/>
  <c r="K19" i="37" s="1"/>
  <c r="J19" i="37" s="1"/>
  <c r="H27" i="37"/>
  <c r="K27" i="37" s="1"/>
  <c r="J27" i="37" s="1"/>
  <c r="H35" i="37"/>
  <c r="K35" i="37" s="1"/>
  <c r="J35" i="37" s="1"/>
  <c r="H91" i="37"/>
  <c r="K91" i="37" s="1"/>
  <c r="J91" i="37" s="1"/>
  <c r="H99" i="37"/>
  <c r="K99" i="37" s="1"/>
  <c r="J99" i="37" s="1"/>
  <c r="H107" i="37"/>
  <c r="K107" i="37" s="1"/>
  <c r="J107" i="37" s="1"/>
  <c r="H115" i="37"/>
  <c r="K115" i="37" s="1"/>
  <c r="J115" i="37" s="1"/>
  <c r="H123" i="37"/>
  <c r="K123" i="37" s="1"/>
  <c r="J123" i="37" s="1"/>
  <c r="H131" i="37"/>
  <c r="K131" i="37" s="1"/>
  <c r="J131" i="37" s="1"/>
  <c r="H139" i="37"/>
  <c r="K139" i="37" s="1"/>
  <c r="J139" i="37" s="1"/>
  <c r="H147" i="37"/>
  <c r="K147" i="37" s="1"/>
  <c r="J147" i="37" s="1"/>
  <c r="H155" i="37"/>
  <c r="K155" i="37" s="1"/>
  <c r="J155" i="37" s="1"/>
  <c r="H163" i="37"/>
  <c r="K163" i="37" s="1"/>
  <c r="J163" i="37" s="1"/>
  <c r="H171" i="37"/>
  <c r="K171" i="37" s="1"/>
  <c r="J171" i="37" s="1"/>
  <c r="H179" i="37"/>
  <c r="K179" i="37" s="1"/>
  <c r="J179" i="37" s="1"/>
  <c r="H187" i="37"/>
  <c r="K187" i="37" s="1"/>
  <c r="J187" i="37" s="1"/>
  <c r="H195" i="37"/>
  <c r="K195" i="37" s="1"/>
  <c r="J195" i="37" s="1"/>
  <c r="H135" i="37"/>
  <c r="K135" i="37" s="1"/>
  <c r="J135" i="37" s="1"/>
  <c r="H183" i="37"/>
  <c r="K183" i="37" s="1"/>
  <c r="J183" i="37" s="1"/>
  <c r="H12" i="37"/>
  <c r="K12" i="37" s="1"/>
  <c r="J12" i="37" s="1"/>
  <c r="H20" i="37"/>
  <c r="K20" i="37" s="1"/>
  <c r="J20" i="37" s="1"/>
  <c r="H28" i="37"/>
  <c r="K28" i="37" s="1"/>
  <c r="J28" i="37" s="1"/>
  <c r="H36" i="37"/>
  <c r="K36" i="37" s="1"/>
  <c r="J36" i="37" s="1"/>
  <c r="H92" i="37"/>
  <c r="K92" i="37" s="1"/>
  <c r="J92" i="37" s="1"/>
  <c r="H100" i="37"/>
  <c r="K100" i="37" s="1"/>
  <c r="J100" i="37" s="1"/>
  <c r="H108" i="37"/>
  <c r="K108" i="37" s="1"/>
  <c r="J108" i="37" s="1"/>
  <c r="H116" i="37"/>
  <c r="K116" i="37" s="1"/>
  <c r="J116" i="37" s="1"/>
  <c r="H124" i="37"/>
  <c r="K124" i="37" s="1"/>
  <c r="J124" i="37" s="1"/>
  <c r="H132" i="37"/>
  <c r="K132" i="37" s="1"/>
  <c r="J132" i="37" s="1"/>
  <c r="H140" i="37"/>
  <c r="K140" i="37" s="1"/>
  <c r="J140" i="37" s="1"/>
  <c r="H148" i="37"/>
  <c r="K148" i="37" s="1"/>
  <c r="J148" i="37" s="1"/>
  <c r="H156" i="37"/>
  <c r="K156" i="37" s="1"/>
  <c r="J156" i="37" s="1"/>
  <c r="H164" i="37"/>
  <c r="K164" i="37" s="1"/>
  <c r="J164" i="37" s="1"/>
  <c r="H172" i="37"/>
  <c r="K172" i="37" s="1"/>
  <c r="J172" i="37" s="1"/>
  <c r="H180" i="37"/>
  <c r="K180" i="37" s="1"/>
  <c r="J180" i="37" s="1"/>
  <c r="H188" i="37"/>
  <c r="K188" i="37" s="1"/>
  <c r="J188" i="37" s="1"/>
  <c r="H196" i="37"/>
  <c r="K196" i="37" s="1"/>
  <c r="J196" i="37" s="1"/>
  <c r="H119" i="37"/>
  <c r="K119" i="37" s="1"/>
  <c r="J119" i="37" s="1"/>
  <c r="H167" i="37"/>
  <c r="K167" i="37" s="1"/>
  <c r="J167" i="37" s="1"/>
  <c r="H199" i="37"/>
  <c r="K199" i="37" s="1"/>
  <c r="J199" i="37" s="1"/>
  <c r="H13" i="37"/>
  <c r="K13" i="37" s="1"/>
  <c r="J13" i="37" s="1"/>
  <c r="H21" i="37"/>
  <c r="K21" i="37" s="1"/>
  <c r="J21" i="37" s="1"/>
  <c r="H29" i="37"/>
  <c r="K29" i="37" s="1"/>
  <c r="J29" i="37" s="1"/>
  <c r="H93" i="37"/>
  <c r="K93" i="37" s="1"/>
  <c r="J93" i="37" s="1"/>
  <c r="H101" i="37"/>
  <c r="K101" i="37" s="1"/>
  <c r="J101" i="37" s="1"/>
  <c r="H109" i="37"/>
  <c r="K109" i="37" s="1"/>
  <c r="J109" i="37" s="1"/>
  <c r="H117" i="37"/>
  <c r="K117" i="37" s="1"/>
  <c r="J117" i="37" s="1"/>
  <c r="H125" i="37"/>
  <c r="K125" i="37" s="1"/>
  <c r="J125" i="37" s="1"/>
  <c r="H133" i="37"/>
  <c r="K133" i="37" s="1"/>
  <c r="J133" i="37" s="1"/>
  <c r="H141" i="37"/>
  <c r="K141" i="37" s="1"/>
  <c r="J141" i="37" s="1"/>
  <c r="H149" i="37"/>
  <c r="K149" i="37" s="1"/>
  <c r="J149" i="37" s="1"/>
  <c r="H157" i="37"/>
  <c r="K157" i="37" s="1"/>
  <c r="J157" i="37" s="1"/>
  <c r="H165" i="37"/>
  <c r="K165" i="37" s="1"/>
  <c r="J165" i="37" s="1"/>
  <c r="H173" i="37"/>
  <c r="K173" i="37" s="1"/>
  <c r="J173" i="37" s="1"/>
  <c r="H181" i="37"/>
  <c r="K181" i="37" s="1"/>
  <c r="J181" i="37" s="1"/>
  <c r="H189" i="37"/>
  <c r="K189" i="37" s="1"/>
  <c r="J189" i="37" s="1"/>
  <c r="H197" i="37"/>
  <c r="K197" i="37" s="1"/>
  <c r="J197" i="37" s="1"/>
  <c r="H23" i="37"/>
  <c r="K23" i="37" s="1"/>
  <c r="J23" i="37" s="1"/>
  <c r="H87" i="37"/>
  <c r="K87" i="37" s="1"/>
  <c r="J87" i="37" s="1"/>
  <c r="H143" i="37"/>
  <c r="K143" i="37" s="1"/>
  <c r="J143" i="37" s="1"/>
  <c r="H14" i="37"/>
  <c r="K14" i="37" s="1"/>
  <c r="J14" i="37" s="1"/>
  <c r="H22" i="37"/>
  <c r="K22" i="37" s="1"/>
  <c r="J22" i="37" s="1"/>
  <c r="H30" i="37"/>
  <c r="K30" i="37" s="1"/>
  <c r="J30" i="37" s="1"/>
  <c r="H38" i="37"/>
  <c r="K38" i="37" s="1"/>
  <c r="J38" i="37" s="1"/>
  <c r="H94" i="37"/>
  <c r="K94" i="37" s="1"/>
  <c r="J94" i="37" s="1"/>
  <c r="H102" i="37"/>
  <c r="K102" i="37" s="1"/>
  <c r="J102" i="37" s="1"/>
  <c r="H110" i="37"/>
  <c r="K110" i="37" s="1"/>
  <c r="J110" i="37" s="1"/>
  <c r="H118" i="37"/>
  <c r="K118" i="37" s="1"/>
  <c r="J118" i="37" s="1"/>
  <c r="H126" i="37"/>
  <c r="K126" i="37" s="1"/>
  <c r="J126" i="37" s="1"/>
  <c r="H134" i="37"/>
  <c r="K134" i="37" s="1"/>
  <c r="J134" i="37" s="1"/>
  <c r="H142" i="37"/>
  <c r="K142" i="37" s="1"/>
  <c r="J142" i="37" s="1"/>
  <c r="H150" i="37"/>
  <c r="K150" i="37" s="1"/>
  <c r="J150" i="37" s="1"/>
  <c r="H158" i="37"/>
  <c r="K158" i="37" s="1"/>
  <c r="J158" i="37" s="1"/>
  <c r="H166" i="37"/>
  <c r="K166" i="37" s="1"/>
  <c r="J166" i="37" s="1"/>
  <c r="H174" i="37"/>
  <c r="K174" i="37" s="1"/>
  <c r="J174" i="37" s="1"/>
  <c r="H182" i="37"/>
  <c r="K182" i="37" s="1"/>
  <c r="J182" i="37" s="1"/>
  <c r="H190" i="37"/>
  <c r="K190" i="37" s="1"/>
  <c r="J190" i="37" s="1"/>
  <c r="H198" i="37"/>
  <c r="K198" i="37" s="1"/>
  <c r="J198" i="37" s="1"/>
  <c r="H15" i="37"/>
  <c r="K15" i="37" s="1"/>
  <c r="J15" i="37" s="1"/>
  <c r="H127" i="37"/>
  <c r="K127" i="37" s="1"/>
  <c r="J127" i="37" s="1"/>
  <c r="H16" i="37"/>
  <c r="K16" i="37" s="1"/>
  <c r="J16" i="37" s="1"/>
  <c r="H24" i="37"/>
  <c r="K24" i="37" s="1"/>
  <c r="J24" i="37" s="1"/>
  <c r="H32" i="37"/>
  <c r="K32" i="37" s="1"/>
  <c r="J32" i="37" s="1"/>
  <c r="H88" i="37"/>
  <c r="K88" i="37" s="1"/>
  <c r="J88" i="37" s="1"/>
  <c r="H96" i="37"/>
  <c r="K96" i="37" s="1"/>
  <c r="J96" i="37" s="1"/>
  <c r="H104" i="37"/>
  <c r="K104" i="37" s="1"/>
  <c r="J104" i="37" s="1"/>
  <c r="H112" i="37"/>
  <c r="K112" i="37" s="1"/>
  <c r="J112" i="37" s="1"/>
  <c r="H120" i="37"/>
  <c r="K120" i="37" s="1"/>
  <c r="J120" i="37" s="1"/>
  <c r="H128" i="37"/>
  <c r="K128" i="37" s="1"/>
  <c r="J128" i="37" s="1"/>
  <c r="H136" i="37"/>
  <c r="K136" i="37" s="1"/>
  <c r="J136" i="37" s="1"/>
  <c r="H144" i="37"/>
  <c r="K144" i="37" s="1"/>
  <c r="J144" i="37" s="1"/>
  <c r="H152" i="37"/>
  <c r="K152" i="37" s="1"/>
  <c r="J152" i="37" s="1"/>
  <c r="H160" i="37"/>
  <c r="K160" i="37" s="1"/>
  <c r="J160" i="37" s="1"/>
  <c r="H168" i="37"/>
  <c r="K168" i="37" s="1"/>
  <c r="J168" i="37" s="1"/>
  <c r="H176" i="37"/>
  <c r="K176" i="37" s="1"/>
  <c r="J176" i="37" s="1"/>
  <c r="H184" i="37"/>
  <c r="K184" i="37" s="1"/>
  <c r="J184" i="37" s="1"/>
  <c r="H192" i="37"/>
  <c r="K192" i="37" s="1"/>
  <c r="J192" i="37" s="1"/>
  <c r="H200" i="37"/>
  <c r="K200" i="37" s="1"/>
  <c r="J200" i="37" s="1"/>
  <c r="H111" i="37"/>
  <c r="K111" i="37" s="1"/>
  <c r="J111" i="37" s="1"/>
  <c r="H175" i="37"/>
  <c r="K175" i="37" s="1"/>
  <c r="J175" i="37" s="1"/>
  <c r="Y3" i="37"/>
  <c r="AA8" i="37" s="1" a="1"/>
  <c r="AA8" i="37" s="1"/>
  <c r="F9" i="27" l="1"/>
  <c r="D9" i="27"/>
  <c r="I181" i="37"/>
  <c r="I175" i="37"/>
  <c r="I160" i="37"/>
  <c r="I96" i="37"/>
  <c r="I32" i="37"/>
  <c r="I182" i="37"/>
  <c r="I118" i="37"/>
  <c r="I23" i="37"/>
  <c r="I141" i="37"/>
  <c r="I13" i="37"/>
  <c r="I172" i="37"/>
  <c r="I108" i="37"/>
  <c r="I139" i="37"/>
  <c r="I11" i="37"/>
  <c r="I170" i="37"/>
  <c r="I106" i="37"/>
  <c r="I193" i="37"/>
  <c r="I129" i="37"/>
  <c r="I200" i="37"/>
  <c r="I117" i="37"/>
  <c r="I115" i="37"/>
  <c r="I104" i="37"/>
  <c r="I111" i="37"/>
  <c r="I152" i="37"/>
  <c r="I88" i="37"/>
  <c r="I24" i="37"/>
  <c r="I174" i="37"/>
  <c r="I110" i="37"/>
  <c r="I197" i="37"/>
  <c r="I133" i="37"/>
  <c r="I199" i="37"/>
  <c r="I164" i="37"/>
  <c r="I100" i="37"/>
  <c r="I36" i="37"/>
  <c r="I195" i="37"/>
  <c r="I131" i="37"/>
  <c r="I191" i="37"/>
  <c r="I162" i="37"/>
  <c r="I98" i="37"/>
  <c r="I34" i="37"/>
  <c r="I185" i="37"/>
  <c r="I121" i="37"/>
  <c r="I127" i="37"/>
  <c r="I148" i="37"/>
  <c r="I168" i="37"/>
  <c r="I144" i="37"/>
  <c r="I16" i="37"/>
  <c r="I166" i="37"/>
  <c r="I102" i="37"/>
  <c r="I38" i="37"/>
  <c r="I189" i="37"/>
  <c r="I125" i="37"/>
  <c r="I167" i="37"/>
  <c r="I156" i="37"/>
  <c r="I92" i="37"/>
  <c r="I28" i="37"/>
  <c r="I187" i="37"/>
  <c r="I123" i="37"/>
  <c r="I151" i="37"/>
  <c r="I154" i="37"/>
  <c r="I90" i="37"/>
  <c r="I26" i="37"/>
  <c r="I177" i="37"/>
  <c r="I113" i="37"/>
  <c r="I119" i="37"/>
  <c r="I103" i="37"/>
  <c r="I18" i="37"/>
  <c r="I105" i="37"/>
  <c r="I94" i="37"/>
  <c r="I179" i="37"/>
  <c r="I169" i="37"/>
  <c r="I192" i="37"/>
  <c r="I128" i="37"/>
  <c r="I150" i="37"/>
  <c r="I22" i="37"/>
  <c r="I173" i="37"/>
  <c r="I109" i="37"/>
  <c r="I140" i="37"/>
  <c r="I12" i="37"/>
  <c r="I171" i="37"/>
  <c r="I107" i="37"/>
  <c r="I31" i="37"/>
  <c r="I138" i="37"/>
  <c r="I10" i="37"/>
  <c r="I161" i="37"/>
  <c r="I97" i="37"/>
  <c r="I33" i="37"/>
  <c r="I30" i="37"/>
  <c r="I20" i="37"/>
  <c r="I184" i="37"/>
  <c r="I120" i="37"/>
  <c r="I15" i="37"/>
  <c r="I142" i="37"/>
  <c r="I14" i="37"/>
  <c r="I165" i="37"/>
  <c r="I101" i="37"/>
  <c r="I196" i="37"/>
  <c r="I132" i="37"/>
  <c r="I183" i="37"/>
  <c r="I163" i="37"/>
  <c r="I99" i="37"/>
  <c r="I35" i="37"/>
  <c r="I194" i="37"/>
  <c r="I130" i="37"/>
  <c r="I159" i="37"/>
  <c r="I153" i="37"/>
  <c r="I89" i="37"/>
  <c r="I25" i="37"/>
  <c r="I158" i="37"/>
  <c r="I146" i="37"/>
  <c r="I176" i="37"/>
  <c r="I112" i="37"/>
  <c r="I198" i="37"/>
  <c r="I134" i="37"/>
  <c r="I143" i="37"/>
  <c r="I157" i="37"/>
  <c r="I93" i="37"/>
  <c r="I29" i="37"/>
  <c r="I188" i="37"/>
  <c r="I124" i="37"/>
  <c r="I135" i="37"/>
  <c r="I155" i="37"/>
  <c r="I91" i="37"/>
  <c r="I27" i="37"/>
  <c r="I186" i="37"/>
  <c r="I122" i="37"/>
  <c r="I95" i="37"/>
  <c r="I145" i="37"/>
  <c r="I17" i="37"/>
  <c r="I136" i="37"/>
  <c r="I190" i="37"/>
  <c r="I126" i="37"/>
  <c r="I87" i="37"/>
  <c r="I149" i="37"/>
  <c r="I21" i="37"/>
  <c r="I180" i="37"/>
  <c r="I116" i="37"/>
  <c r="I147" i="37"/>
  <c r="I19" i="37"/>
  <c r="I178" i="37"/>
  <c r="I114" i="37"/>
  <c r="I39" i="37"/>
  <c r="I137" i="37"/>
  <c r="I9" i="37"/>
  <c r="G9" i="27" l="1"/>
  <c r="G41" i="37" a="1"/>
  <c r="G41" i="37" s="1"/>
  <c r="G44" i="37" a="1"/>
  <c r="G44" i="37" s="1"/>
  <c r="G75" i="37" a="1"/>
  <c r="G75" i="37" s="1"/>
  <c r="G51" i="37" a="1"/>
  <c r="G51" i="37" s="1"/>
  <c r="G60" i="37" a="1"/>
  <c r="G60" i="37" s="1"/>
  <c r="G78" i="37" a="1"/>
  <c r="G78" i="37" s="1"/>
  <c r="G56" i="37" a="1"/>
  <c r="G56" i="37" s="1"/>
  <c r="G58" i="37" a="1"/>
  <c r="G58" i="37" s="1"/>
  <c r="G42" i="37" a="1"/>
  <c r="G42" i="37" s="1"/>
  <c r="G65" i="37" a="1"/>
  <c r="G65" i="37" s="1"/>
  <c r="G47" i="37" a="1"/>
  <c r="G47" i="37" s="1"/>
  <c r="G55" i="37" a="1"/>
  <c r="G55" i="37" s="1"/>
  <c r="G49" i="37" a="1"/>
  <c r="G49" i="37" s="1"/>
  <c r="G52" i="37" a="1"/>
  <c r="G52" i="37" s="1"/>
  <c r="G83" i="37" a="1"/>
  <c r="G83" i="37" s="1"/>
  <c r="G57" i="37" a="1"/>
  <c r="G57" i="37" s="1"/>
  <c r="G68" i="37" a="1"/>
  <c r="G68" i="37" s="1"/>
  <c r="G85" i="37" a="1"/>
  <c r="G85" i="37" s="1"/>
  <c r="E2" i="42" a="1"/>
  <c r="E2" i="42" s="1"/>
  <c r="G76" i="37" a="1"/>
  <c r="G76" i="37" s="1"/>
  <c r="E3" i="42" a="1"/>
  <c r="E3" i="42" s="1"/>
  <c r="G63" i="37" a="1"/>
  <c r="G63" i="37" s="1"/>
  <c r="G74" i="37" a="1"/>
  <c r="G74" i="37" s="1"/>
  <c r="G50" i="37" a="1"/>
  <c r="G50" i="37" s="1"/>
  <c r="G73" i="37" a="1"/>
  <c r="G73" i="37" s="1"/>
  <c r="G84" i="37" a="1"/>
  <c r="G84" i="37" s="1"/>
  <c r="G54" i="37" a="1"/>
  <c r="G54" i="37" s="1"/>
  <c r="E4" i="42" a="1"/>
  <c r="E4" i="42" s="1"/>
  <c r="G79" i="37" a="1"/>
  <c r="G79" i="37" s="1"/>
  <c r="G72" i="37" a="1"/>
  <c r="G72" i="37" s="1"/>
  <c r="G69" i="37" a="1"/>
  <c r="G69" i="37" s="1"/>
  <c r="G71" i="37" a="1"/>
  <c r="G71" i="37" s="1"/>
  <c r="G82" i="37" a="1"/>
  <c r="G82" i="37" s="1"/>
  <c r="G64" i="37" a="1"/>
  <c r="G64" i="37" s="1"/>
  <c r="G81" i="37" a="1"/>
  <c r="G81" i="37" s="1"/>
  <c r="G48" i="37" a="1"/>
  <c r="G48" i="37" s="1"/>
  <c r="G61" i="37" a="1"/>
  <c r="G61" i="37" s="1"/>
  <c r="E5" i="42" a="1"/>
  <c r="E5" i="42" s="1"/>
  <c r="G45" i="37" a="1"/>
  <c r="G45" i="37" s="1"/>
  <c r="G66" i="37" a="1"/>
  <c r="G66" i="37" s="1"/>
  <c r="E6" i="42" a="1"/>
  <c r="E6" i="42" s="1"/>
  <c r="G86" i="37" a="1"/>
  <c r="G86" i="37" s="1"/>
  <c r="G59" i="37" a="1"/>
  <c r="G59" i="37" s="1"/>
  <c r="G80" i="37" a="1"/>
  <c r="G80" i="37" s="1"/>
  <c r="G46" i="37" a="1"/>
  <c r="G46" i="37" s="1"/>
  <c r="G62" i="37" a="1"/>
  <c r="G62" i="37" s="1"/>
  <c r="G77" i="37" a="1"/>
  <c r="G77" i="37" s="1"/>
  <c r="G37" i="37" a="1"/>
  <c r="G37" i="37" s="1"/>
  <c r="G67" i="37" a="1"/>
  <c r="G67" i="37" s="1"/>
  <c r="G43" i="37" a="1"/>
  <c r="G43" i="37" s="1"/>
  <c r="G53" i="37" a="1"/>
  <c r="G53" i="37" s="1"/>
  <c r="G70" i="37" a="1"/>
  <c r="G70" i="37" s="1"/>
  <c r="G8" i="37" a="1"/>
  <c r="G8" i="37" s="1"/>
  <c r="P3" i="37"/>
  <c r="H57" i="37"/>
  <c r="K57" i="37" s="1"/>
  <c r="H67" i="37"/>
  <c r="K67" i="37" s="1"/>
  <c r="H69" i="37"/>
  <c r="K69" i="37" s="1"/>
  <c r="H46" i="37"/>
  <c r="K46" i="37" s="1"/>
  <c r="H55" i="37"/>
  <c r="K55" i="37" s="1"/>
  <c r="H65" i="37"/>
  <c r="K65" i="37" s="1"/>
  <c r="H73" i="37"/>
  <c r="K73" i="37" s="1"/>
  <c r="H50" i="37"/>
  <c r="K50" i="37" s="1"/>
  <c r="H83" i="37"/>
  <c r="K83" i="37" s="1"/>
  <c r="H79" i="37"/>
  <c r="K79" i="37" s="1"/>
  <c r="H52" i="37"/>
  <c r="K52" i="37" s="1"/>
  <c r="H85" i="37"/>
  <c r="K85" i="37" s="1"/>
  <c r="H62" i="37"/>
  <c r="K62" i="37" s="1"/>
  <c r="H81" i="37"/>
  <c r="K81" i="37" s="1"/>
  <c r="H58" i="37"/>
  <c r="K58" i="37" s="1"/>
  <c r="H60" i="37"/>
  <c r="K60" i="37" s="1"/>
  <c r="H70" i="37"/>
  <c r="K70" i="37" s="1"/>
  <c r="H48" i="37"/>
  <c r="K48" i="37" s="1"/>
  <c r="H8" i="37"/>
  <c r="K8" i="37" s="1"/>
  <c r="H66" i="37"/>
  <c r="K66" i="37" s="1"/>
  <c r="H68" i="37"/>
  <c r="K68" i="37" s="1"/>
  <c r="H37" i="37"/>
  <c r="K37" i="37" s="1"/>
  <c r="H78" i="37"/>
  <c r="K78" i="37" s="1"/>
  <c r="H56" i="37"/>
  <c r="K56" i="37" s="1"/>
  <c r="H44" i="37"/>
  <c r="K44" i="37" s="1"/>
  <c r="H74" i="37"/>
  <c r="K74" i="37" s="1"/>
  <c r="H43" i="37"/>
  <c r="K43" i="37" s="1"/>
  <c r="H76" i="37"/>
  <c r="K76" i="37" s="1"/>
  <c r="H63" i="37"/>
  <c r="K63" i="37" s="1"/>
  <c r="H45" i="37"/>
  <c r="K45" i="37" s="1"/>
  <c r="H86" i="37"/>
  <c r="K86" i="37" s="1"/>
  <c r="H71" i="37"/>
  <c r="K71" i="37" s="1"/>
  <c r="H64" i="37"/>
  <c r="K64" i="37" s="1"/>
  <c r="H47" i="37"/>
  <c r="K47" i="37" s="1"/>
  <c r="H41" i="37"/>
  <c r="K41" i="37" s="1"/>
  <c r="H82" i="37"/>
  <c r="K82" i="37" s="1"/>
  <c r="H51" i="37"/>
  <c r="K51" i="37" s="1"/>
  <c r="H84" i="37"/>
  <c r="K84" i="37" s="1"/>
  <c r="H53" i="37"/>
  <c r="K53" i="37" s="1"/>
  <c r="H72" i="37"/>
  <c r="K72" i="37" s="1"/>
  <c r="H75" i="37"/>
  <c r="K75" i="37" s="1"/>
  <c r="H49" i="37"/>
  <c r="K49" i="37" s="1"/>
  <c r="H59" i="37"/>
  <c r="K59" i="37" s="1"/>
  <c r="H61" i="37"/>
  <c r="K61" i="37" s="1"/>
  <c r="H80" i="37"/>
  <c r="K80" i="37" s="1"/>
  <c r="H42" i="37"/>
  <c r="K42" i="37" s="1"/>
  <c r="H77" i="37"/>
  <c r="K77" i="37" s="1"/>
  <c r="H54" i="37"/>
  <c r="K54" i="37" s="1"/>
  <c r="G5" i="37" l="1"/>
  <c r="H40" i="37" s="1"/>
  <c r="K40" i="37" s="1"/>
  <c r="J40" i="37" s="1"/>
  <c r="V3" i="37"/>
  <c r="J83" i="37"/>
  <c r="I83" i="37"/>
  <c r="J77" i="37"/>
  <c r="I77" i="37"/>
  <c r="J49" i="37"/>
  <c r="I49" i="37"/>
  <c r="J47" i="37"/>
  <c r="I47" i="37"/>
  <c r="J74" i="37"/>
  <c r="I74" i="37"/>
  <c r="J48" i="37"/>
  <c r="I48" i="37"/>
  <c r="J79" i="37"/>
  <c r="I79" i="37"/>
  <c r="J67" i="37"/>
  <c r="I67" i="37"/>
  <c r="J70" i="37"/>
  <c r="I70" i="37"/>
  <c r="J54" i="37"/>
  <c r="I54" i="37"/>
  <c r="J72" i="37"/>
  <c r="I72" i="37"/>
  <c r="J71" i="37"/>
  <c r="I71" i="37"/>
  <c r="J56" i="37"/>
  <c r="I56" i="37"/>
  <c r="J60" i="37"/>
  <c r="I60" i="37"/>
  <c r="J50" i="37"/>
  <c r="I50" i="37"/>
  <c r="R31" i="37" a="1"/>
  <c r="R31" i="37" s="1"/>
  <c r="R29" i="37" a="1"/>
  <c r="R29" i="37" s="1"/>
  <c r="R30" i="37" a="1"/>
  <c r="R30" i="37" s="1"/>
  <c r="R61" i="37" a="1"/>
  <c r="R61" i="37" s="1"/>
  <c r="V74" i="37" a="1"/>
  <c r="V74" i="37" s="1"/>
  <c r="V56" i="37" a="1"/>
  <c r="V56" i="37" s="1"/>
  <c r="R70" i="37" a="1"/>
  <c r="R70" i="37" s="1"/>
  <c r="V58" i="37" a="1"/>
  <c r="V58" i="37" s="1"/>
  <c r="V65" i="37" a="1"/>
  <c r="V65" i="37" s="1"/>
  <c r="R79" i="37" a="1"/>
  <c r="R79" i="37" s="1"/>
  <c r="R56" i="37" a="1"/>
  <c r="R56" i="37" s="1"/>
  <c r="R48" i="37" a="1"/>
  <c r="R48" i="37" s="1"/>
  <c r="R58" i="37" a="1"/>
  <c r="R58" i="37" s="1"/>
  <c r="R49" i="37" a="1"/>
  <c r="R49" i="37" s="1"/>
  <c r="R100" i="37" a="1"/>
  <c r="R100" i="37" s="1"/>
  <c r="R83" i="37" a="1"/>
  <c r="R83" i="37" s="1"/>
  <c r="R65" i="37" a="1"/>
  <c r="R65" i="37" s="1"/>
  <c r="V55" i="37" a="1"/>
  <c r="V55" i="37" s="1"/>
  <c r="R69" i="37" a="1"/>
  <c r="R69" i="37" s="1"/>
  <c r="R64" i="37" a="1"/>
  <c r="R64" i="37" s="1"/>
  <c r="V64" i="37" a="1"/>
  <c r="V64" i="37" s="1"/>
  <c r="R78" i="37" a="1"/>
  <c r="R78" i="37" s="1"/>
  <c r="V66" i="37" a="1"/>
  <c r="V66" i="37" s="1"/>
  <c r="V73" i="37" a="1"/>
  <c r="V73" i="37" s="1"/>
  <c r="R87" i="37" a="1"/>
  <c r="R87" i="37" s="1"/>
  <c r="R80" i="37" a="1"/>
  <c r="R80" i="37" s="1"/>
  <c r="V52" i="37" a="1"/>
  <c r="V52" i="37" s="1"/>
  <c r="R66" i="37" a="1"/>
  <c r="R66" i="37" s="1"/>
  <c r="R38" i="37" a="1"/>
  <c r="R38" i="37" s="1"/>
  <c r="R43" i="37" a="1"/>
  <c r="R43" i="37" s="1"/>
  <c r="V77" i="37" a="1"/>
  <c r="V77" i="37" s="1"/>
  <c r="R91" i="37" a="1"/>
  <c r="R91" i="37" s="1"/>
  <c r="V94" i="37" a="1"/>
  <c r="V94" i="37" s="1"/>
  <c r="R97" i="37" a="1"/>
  <c r="R97" i="37" s="1"/>
  <c r="V36" i="37" a="1"/>
  <c r="V36" i="37" s="1"/>
  <c r="R44" i="37" a="1"/>
  <c r="R44" i="37" s="1"/>
  <c r="R35" i="37" a="1"/>
  <c r="R35" i="37" s="1"/>
  <c r="R67" i="37" a="1"/>
  <c r="R67" i="37" s="1"/>
  <c r="V63" i="37" a="1"/>
  <c r="V63" i="37" s="1"/>
  <c r="R77" i="37" a="1"/>
  <c r="R77" i="37" s="1"/>
  <c r="R88" i="37" a="1"/>
  <c r="R88" i="37" s="1"/>
  <c r="V72" i="37" a="1"/>
  <c r="V72" i="37" s="1"/>
  <c r="R86" i="37" a="1"/>
  <c r="R86" i="37" s="1"/>
  <c r="V90" i="37" a="1"/>
  <c r="V90" i="37" s="1"/>
  <c r="V81" i="37" a="1"/>
  <c r="V81" i="37" s="1"/>
  <c r="R95" i="37" a="1"/>
  <c r="R95" i="37" s="1"/>
  <c r="R96" i="37" a="1"/>
  <c r="R96" i="37" s="1"/>
  <c r="V60" i="37" a="1"/>
  <c r="V60" i="37" s="1"/>
  <c r="R74" i="37" a="1"/>
  <c r="R74" i="37" s="1"/>
  <c r="V62" i="37" a="1"/>
  <c r="V62" i="37" s="1"/>
  <c r="V67" i="37" a="1"/>
  <c r="V67" i="37" s="1"/>
  <c r="V85" i="37" a="1"/>
  <c r="V85" i="37" s="1"/>
  <c r="R99" i="37" a="1"/>
  <c r="R99" i="37" s="1"/>
  <c r="R60" i="37" a="1"/>
  <c r="R60" i="37" s="1"/>
  <c r="R37" i="37" a="1"/>
  <c r="R37" i="37" s="1"/>
  <c r="V37" i="37" a="1"/>
  <c r="V37" i="37" s="1"/>
  <c r="R73" i="37" a="1"/>
  <c r="R73" i="37" s="1"/>
  <c r="V92" i="37" a="1"/>
  <c r="V92" i="37" s="1"/>
  <c r="R39" i="37" a="1"/>
  <c r="R39" i="37" s="1"/>
  <c r="V71" i="37" a="1"/>
  <c r="V71" i="37" s="1"/>
  <c r="R85" i="37" a="1"/>
  <c r="R85" i="37" s="1"/>
  <c r="V50" i="37" a="1"/>
  <c r="V50" i="37" s="1"/>
  <c r="V80" i="37" a="1"/>
  <c r="V80" i="37" s="1"/>
  <c r="R94" i="37" a="1"/>
  <c r="R94" i="37" s="1"/>
  <c r="V98" i="37" a="1"/>
  <c r="V98" i="37" s="1"/>
  <c r="V89" i="37" a="1"/>
  <c r="V89" i="37" s="1"/>
  <c r="V41" i="37" a="1"/>
  <c r="V41" i="37" s="1"/>
  <c r="R47" i="37" a="1"/>
  <c r="R47" i="37" s="1"/>
  <c r="V68" i="37" a="1"/>
  <c r="V68" i="37" s="1"/>
  <c r="R82" i="37" a="1"/>
  <c r="R82" i="37" s="1"/>
  <c r="V70" i="37" a="1"/>
  <c r="V70" i="37" s="1"/>
  <c r="V99" i="37" a="1"/>
  <c r="V99" i="37" s="1"/>
  <c r="V93" i="37" a="1"/>
  <c r="V93" i="37" s="1"/>
  <c r="V45" i="37" a="1"/>
  <c r="V45" i="37" s="1"/>
  <c r="R76" i="37" a="1"/>
  <c r="R76" i="37" s="1"/>
  <c r="R92" i="37" a="1"/>
  <c r="R92" i="37" s="1"/>
  <c r="R54" i="37" a="1"/>
  <c r="R54" i="37" s="1"/>
  <c r="R68" i="37" a="1"/>
  <c r="R68" i="37" s="1"/>
  <c r="V79" i="37" a="1"/>
  <c r="V79" i="37" s="1"/>
  <c r="R93" i="37" a="1"/>
  <c r="R93" i="37" s="1"/>
  <c r="V59" i="37" a="1"/>
  <c r="V59" i="37" s="1"/>
  <c r="V88" i="37" a="1"/>
  <c r="V88" i="37" s="1"/>
  <c r="V40" i="37" a="1"/>
  <c r="V40" i="37" s="1"/>
  <c r="R72" i="37" a="1"/>
  <c r="R72" i="37" s="1"/>
  <c r="V97" i="37" a="1"/>
  <c r="V97" i="37" s="1"/>
  <c r="V49" i="37" a="1"/>
  <c r="V49" i="37" s="1"/>
  <c r="V51" i="37" a="1"/>
  <c r="V51" i="37" s="1"/>
  <c r="V76" i="37" a="1"/>
  <c r="V76" i="37" s="1"/>
  <c r="R90" i="37" a="1"/>
  <c r="R90" i="37" s="1"/>
  <c r="V86" i="37" a="1"/>
  <c r="V86" i="37" s="1"/>
  <c r="R81" i="37" a="1"/>
  <c r="R81" i="37" s="1"/>
  <c r="R51" i="37" a="1"/>
  <c r="R51" i="37" s="1"/>
  <c r="R42" i="37" a="1"/>
  <c r="R42" i="37" s="1"/>
  <c r="V95" i="37" a="1"/>
  <c r="V95" i="37" s="1"/>
  <c r="R36" i="37" a="1"/>
  <c r="R36" i="37" s="1"/>
  <c r="V44" i="37" a="1"/>
  <c r="V44" i="37" s="1"/>
  <c r="V87" i="37" a="1"/>
  <c r="V87" i="37" s="1"/>
  <c r="V47" i="37" a="1"/>
  <c r="V47" i="37" s="1"/>
  <c r="V91" i="37" a="1"/>
  <c r="V91" i="37" s="1"/>
  <c r="V96" i="37" a="1"/>
  <c r="V96" i="37" s="1"/>
  <c r="V48" i="37" a="1"/>
  <c r="V48" i="37" s="1"/>
  <c r="V42" i="37" a="1"/>
  <c r="V42" i="37" s="1"/>
  <c r="R55" i="37" a="1"/>
  <c r="R55" i="37" s="1"/>
  <c r="R46" i="37" a="1"/>
  <c r="R46" i="37" s="1"/>
  <c r="V83" i="37" a="1"/>
  <c r="V83" i="37" s="1"/>
  <c r="V84" i="37" a="1"/>
  <c r="V84" i="37" s="1"/>
  <c r="R98" i="37" a="1"/>
  <c r="R98" i="37" s="1"/>
  <c r="R52" i="37" a="1"/>
  <c r="R52" i="37" s="1"/>
  <c r="R40" i="37" a="1"/>
  <c r="R40" i="37" s="1"/>
  <c r="R59" i="37" a="1"/>
  <c r="R59" i="37" s="1"/>
  <c r="R50" i="37" a="1"/>
  <c r="R50" i="37" s="1"/>
  <c r="V46" i="37" a="1"/>
  <c r="V46" i="37" s="1"/>
  <c r="V38" i="37" a="1"/>
  <c r="V38" i="37" s="1"/>
  <c r="R45" i="37" a="1"/>
  <c r="R45" i="37" s="1"/>
  <c r="R57" i="37" a="1"/>
  <c r="R57" i="37" s="1"/>
  <c r="R32" i="37" a="1"/>
  <c r="R32" i="37" s="1"/>
  <c r="R53" i="37" a="1"/>
  <c r="R53" i="37" s="1"/>
  <c r="R33" i="37" a="1"/>
  <c r="R33" i="37" s="1"/>
  <c r="V43" i="37" a="1"/>
  <c r="V43" i="37" s="1"/>
  <c r="R62" i="37" a="1"/>
  <c r="R62" i="37" s="1"/>
  <c r="R34" i="37" a="1"/>
  <c r="R34" i="37" s="1"/>
  <c r="V57" i="37" a="1"/>
  <c r="V57" i="37" s="1"/>
  <c r="R71" i="37" a="1"/>
  <c r="R71" i="37" s="1"/>
  <c r="V82" i="37" a="1"/>
  <c r="V82" i="37" s="1"/>
  <c r="R89" i="37" a="1"/>
  <c r="R89" i="37" s="1"/>
  <c r="V100" i="37" a="1"/>
  <c r="V100" i="37" s="1"/>
  <c r="R41" i="37" a="1"/>
  <c r="R41" i="37" s="1"/>
  <c r="R84" i="37" a="1"/>
  <c r="R84" i="37" s="1"/>
  <c r="V61" i="37" a="1"/>
  <c r="V61" i="37" s="1"/>
  <c r="R75" i="37" a="1"/>
  <c r="R75" i="37" s="1"/>
  <c r="V54" i="37" a="1"/>
  <c r="V54" i="37" s="1"/>
  <c r="V75" i="37" a="1"/>
  <c r="V75" i="37" s="1"/>
  <c r="V39" i="37" a="1"/>
  <c r="V39" i="37" s="1"/>
  <c r="V69" i="37" a="1"/>
  <c r="V69" i="37" s="1"/>
  <c r="V78" i="37" a="1"/>
  <c r="V78" i="37" s="1"/>
  <c r="R28" i="37" a="1"/>
  <c r="R28" i="37" s="1"/>
  <c r="R63" i="37" a="1"/>
  <c r="R63" i="37" s="1"/>
  <c r="V53" i="37" a="1"/>
  <c r="V53" i="37" s="1"/>
  <c r="R10" i="37" a="1"/>
  <c r="R10" i="37" s="1"/>
  <c r="R22" i="37" a="1"/>
  <c r="R22" i="37" s="1"/>
  <c r="R17" i="37" a="1"/>
  <c r="R17" i="37" s="1"/>
  <c r="R20" i="37" a="1"/>
  <c r="R20" i="37" s="1"/>
  <c r="R16" i="37" a="1"/>
  <c r="R16" i="37" s="1"/>
  <c r="R14" i="37" a="1"/>
  <c r="R14" i="37" s="1"/>
  <c r="R9" i="37" a="1"/>
  <c r="R9" i="37" s="1"/>
  <c r="R12" i="37" a="1"/>
  <c r="R12" i="37" s="1"/>
  <c r="R25" i="37" a="1"/>
  <c r="R25" i="37" s="1"/>
  <c r="R21" i="37" a="1"/>
  <c r="R21" i="37" s="1"/>
  <c r="R13" i="37" a="1"/>
  <c r="R13" i="37" s="1"/>
  <c r="R11" i="37" a="1"/>
  <c r="R11" i="37" s="1"/>
  <c r="R27" i="37" a="1"/>
  <c r="R27" i="37" s="1"/>
  <c r="R19" i="37" a="1"/>
  <c r="R19" i="37" s="1"/>
  <c r="R24" i="37" a="1"/>
  <c r="R24" i="37" s="1"/>
  <c r="R26" i="37" a="1"/>
  <c r="R26" i="37" s="1"/>
  <c r="R23" i="37" a="1"/>
  <c r="R23" i="37" s="1"/>
  <c r="R18" i="37" a="1"/>
  <c r="R18" i="37" s="1"/>
  <c r="R15" i="37" a="1"/>
  <c r="R15" i="37" s="1"/>
  <c r="R8" i="37" a="1"/>
  <c r="R8" i="37" s="1"/>
  <c r="V26" i="37" a="1"/>
  <c r="V26" i="37" s="1"/>
  <c r="V16" i="37" a="1"/>
  <c r="V16" i="37" s="1"/>
  <c r="V23" i="37" a="1"/>
  <c r="V23" i="37" s="1"/>
  <c r="V15" i="37" a="1"/>
  <c r="V15" i="37" s="1"/>
  <c r="V9" i="37" a="1"/>
  <c r="V9" i="37" s="1"/>
  <c r="V19" i="37" a="1"/>
  <c r="V19" i="37" s="1"/>
  <c r="V11" i="37" a="1"/>
  <c r="V11" i="37" s="1"/>
  <c r="V31" i="37" a="1"/>
  <c r="V31" i="37" s="1"/>
  <c r="V35" i="37" a="1"/>
  <c r="V35" i="37" s="1"/>
  <c r="V14" i="37" a="1"/>
  <c r="V14" i="37" s="1"/>
  <c r="V27" i="37" a="1"/>
  <c r="V27" i="37" s="1"/>
  <c r="V24" i="37" a="1"/>
  <c r="V24" i="37" s="1"/>
  <c r="V25" i="37" a="1"/>
  <c r="V25" i="37" s="1"/>
  <c r="V29" i="37" a="1"/>
  <c r="V29" i="37" s="1"/>
  <c r="V34" i="37" a="1"/>
  <c r="V34" i="37" s="1"/>
  <c r="V20" i="37" a="1"/>
  <c r="V20" i="37" s="1"/>
  <c r="V21" i="37" a="1"/>
  <c r="V21" i="37" s="1"/>
  <c r="V17" i="37" a="1"/>
  <c r="V17" i="37" s="1"/>
  <c r="V22" i="37" a="1"/>
  <c r="V22" i="37" s="1"/>
  <c r="V12" i="37" a="1"/>
  <c r="V12" i="37" s="1"/>
  <c r="V18" i="37" a="1"/>
  <c r="V18" i="37" s="1"/>
  <c r="V33" i="37" a="1"/>
  <c r="V33" i="37" s="1"/>
  <c r="V10" i="37" a="1"/>
  <c r="V10" i="37" s="1"/>
  <c r="V28" i="37" a="1"/>
  <c r="V28" i="37" s="1"/>
  <c r="V13" i="37" a="1"/>
  <c r="V13" i="37" s="1"/>
  <c r="V32" i="37" a="1"/>
  <c r="V32" i="37" s="1"/>
  <c r="V30" i="37" a="1"/>
  <c r="V30" i="37" s="1"/>
  <c r="V8" i="37" a="1"/>
  <c r="V8" i="37" s="1"/>
  <c r="J53" i="37"/>
  <c r="I53" i="37"/>
  <c r="J86" i="37"/>
  <c r="I86" i="37"/>
  <c r="J78" i="37"/>
  <c r="I78" i="37"/>
  <c r="J58" i="37"/>
  <c r="I58" i="37"/>
  <c r="J73" i="37"/>
  <c r="I73" i="37"/>
  <c r="J75" i="37"/>
  <c r="I75" i="37"/>
  <c r="J42" i="37"/>
  <c r="I42" i="37"/>
  <c r="J84" i="37"/>
  <c r="I84" i="37"/>
  <c r="J45" i="37"/>
  <c r="I45" i="37"/>
  <c r="J37" i="37"/>
  <c r="I37" i="37"/>
  <c r="J81" i="37"/>
  <c r="I81" i="37"/>
  <c r="J65" i="37"/>
  <c r="I65" i="37"/>
  <c r="J44" i="37"/>
  <c r="I44" i="37"/>
  <c r="J51" i="37"/>
  <c r="I51" i="37"/>
  <c r="J63" i="37"/>
  <c r="I63" i="37"/>
  <c r="J68" i="37"/>
  <c r="I68" i="37"/>
  <c r="J62" i="37"/>
  <c r="I62" i="37"/>
  <c r="J55" i="37"/>
  <c r="I55" i="37"/>
  <c r="J64" i="37"/>
  <c r="I64" i="37"/>
  <c r="J80" i="37"/>
  <c r="I80" i="37"/>
  <c r="J61" i="37"/>
  <c r="I61" i="37"/>
  <c r="J82" i="37"/>
  <c r="I82" i="37"/>
  <c r="J76" i="37"/>
  <c r="I76" i="37"/>
  <c r="J66" i="37"/>
  <c r="I66" i="37"/>
  <c r="J85" i="37"/>
  <c r="I85" i="37"/>
  <c r="J46" i="37"/>
  <c r="I46" i="37"/>
  <c r="J57" i="37"/>
  <c r="I57" i="37"/>
  <c r="J59" i="37"/>
  <c r="I59" i="37"/>
  <c r="J41" i="37"/>
  <c r="I41" i="37"/>
  <c r="J43" i="37"/>
  <c r="I43" i="37"/>
  <c r="J8" i="37"/>
  <c r="I8" i="37"/>
  <c r="J52" i="37"/>
  <c r="I52" i="37"/>
  <c r="J69" i="37"/>
  <c r="I69" i="37"/>
  <c r="V2" i="37" l="1"/>
  <c r="I40" i="37"/>
  <c r="I5" i="37" s="1"/>
  <c r="J5" i="37"/>
  <c r="V1" i="37"/>
  <c r="V4" i="37" l="1"/>
  <c r="AA10" i="37" s="1"/>
  <c r="AA11" i="37" s="1"/>
  <c r="K3" i="37" s="1"/>
  <c r="L3" i="37" s="1"/>
  <c r="K5" i="3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David Clements</author>
  </authors>
  <commentList>
    <comment ref="G5" authorId="0" shapeId="0" xr:uid="{5D2AEF30-7D9C-4BEF-9679-7D64152F4E62}">
      <text>
        <r>
          <rPr>
            <b/>
            <sz val="9"/>
            <color indexed="81"/>
            <rFont val="Tahoma"/>
            <family val="2"/>
          </rPr>
          <t>Retained Earnings Solution:</t>
        </r>
        <r>
          <rPr>
            <sz val="9"/>
            <color indexed="81"/>
            <rFont val="Tahoma"/>
            <family val="2"/>
          </rPr>
          <t xml:space="preserve">
Be sure to input the account code for your Retained Earnings account on the Information sheet. This will be used to automatically add the total Calculated Retained Earnings into the corresponding row in the Current Period, thus making the report balance.</t>
        </r>
      </text>
    </comment>
    <comment ref="D7" authorId="0" shapeId="0" xr:uid="{606DC14C-C353-4392-8EBD-1EB0ABBDF121}">
      <text>
        <r>
          <rPr>
            <b/>
            <sz val="9"/>
            <color indexed="81"/>
            <rFont val="Tahoma"/>
            <family val="2"/>
          </rPr>
          <t>Dynamic Lookup Formulas:</t>
        </r>
        <r>
          <rPr>
            <sz val="9"/>
            <color indexed="81"/>
            <rFont val="Tahoma"/>
            <family val="2"/>
          </rPr>
          <t xml:space="preserve">
The PL, XTB, and XRE columns contain lookup formulas which will automatically spill their results alongside the SCOTT.CHART function (by using the dynamic array hashtag # feature).</t>
        </r>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<sst xmlns="http://schemas.openxmlformats.org/spreadsheetml/2006/main" count="166" uniqueCount="130">
  <si>
    <t>Trial Balance</t>
  </si>
  <si>
    <t>Credit</t>
  </si>
  <si>
    <t>Debit</t>
  </si>
  <si>
    <t>BANK</t>
  </si>
  <si>
    <t>CURRENT</t>
  </si>
  <si>
    <t>CURRLIAB</t>
  </si>
  <si>
    <t>DEPRECIATN</t>
  </si>
  <si>
    <t>EQUITY</t>
  </si>
  <si>
    <t>EXPENSE</t>
  </si>
  <si>
    <t>FIXED</t>
  </si>
  <si>
    <t>INVENTORY</t>
  </si>
  <si>
    <t>NONCURRENT</t>
  </si>
  <si>
    <t>OVERHEADS</t>
  </si>
  <si>
    <t>REVENUE</t>
  </si>
  <si>
    <t>TERMLIAB</t>
  </si>
  <si>
    <t>PL</t>
  </si>
  <si>
    <t>This Trial Balance Template uses Scott's excel Add-In for Xero for reporting purposes</t>
  </si>
  <si>
    <t>Scott's Org ID</t>
  </si>
  <si>
    <t>DIRECTCOSTS</t>
  </si>
  <si>
    <t>OTHERINCOME</t>
  </si>
  <si>
    <t>Prepayment</t>
  </si>
  <si>
    <t>Sales</t>
  </si>
  <si>
    <t xml:space="preserve">This report is dynamic and should work for any Chart of Accounts. </t>
  </si>
  <si>
    <t>Information and Data Input Sheet - Trial Balance Using Scott's Add-in functions</t>
  </si>
  <si>
    <t>&lt;Insert your Company Name here&gt;</t>
  </si>
  <si>
    <t>***Important Instructions***</t>
  </si>
  <si>
    <t>Connect the workbook to your accounting system.  Go to the Welcome tab of the add-in to this.</t>
  </si>
  <si>
    <t>This template works for Xero only</t>
  </si>
  <si>
    <t>First time users: If your Organization status under the Organization tab is showing "preparing", please wait until the on-time data load completes.</t>
  </si>
  <si>
    <t>***Important Notes***</t>
  </si>
  <si>
    <t>Where there is no GL code the report will return a #value error and you will need to correct this in Xero.</t>
  </si>
  <si>
    <t>As you extend the functionality of the workbook, you may want to consider switching Excel to manual recalculation while you build out your model.</t>
  </si>
  <si>
    <t>ID</t>
  </si>
  <si>
    <t>Type</t>
  </si>
  <si>
    <t>ClassID</t>
  </si>
  <si>
    <t>Bank</t>
  </si>
  <si>
    <t>Current Asset</t>
  </si>
  <si>
    <t>Fixed Asset</t>
  </si>
  <si>
    <t>Non-current Asset</t>
  </si>
  <si>
    <t>PREPAYMENT</t>
  </si>
  <si>
    <t>Equity</t>
  </si>
  <si>
    <t>Depreciation</t>
  </si>
  <si>
    <t>Direct Costs</t>
  </si>
  <si>
    <t>Expense</t>
  </si>
  <si>
    <t>Overhead</t>
  </si>
  <si>
    <t>Current Liability</t>
  </si>
  <si>
    <t>LIABILITY</t>
  </si>
  <si>
    <t>Liability</t>
  </si>
  <si>
    <t>Non-current Liability</t>
  </si>
  <si>
    <t>Other Income</t>
  </si>
  <si>
    <t>Revenue</t>
  </si>
  <si>
    <t>SALES</t>
  </si>
  <si>
    <t>Inventory</t>
  </si>
  <si>
    <t>Code</t>
  </si>
  <si>
    <t>Name</t>
  </si>
  <si>
    <t>XRE</t>
  </si>
  <si>
    <t>Retained Earnings Code</t>
  </si>
  <si>
    <t>Retained Earnings</t>
  </si>
  <si>
    <t>Current Period</t>
  </si>
  <si>
    <t>Calculated</t>
  </si>
  <si>
    <t>3900</t>
  </si>
  <si>
    <t>From:</t>
  </si>
  <si>
    <t>To:</t>
  </si>
  <si>
    <t>Amount</t>
  </si>
  <si>
    <t>EXPENSES</t>
  </si>
  <si>
    <t>TOTAL REVENUE:</t>
  </si>
  <si>
    <t>TOTAL EXPENSES:</t>
  </si>
  <si>
    <t>Calculated Retained Earnings:</t>
  </si>
  <si>
    <t>(the beginning)</t>
  </si>
  <si>
    <t>(prior year end)</t>
  </si>
  <si>
    <t>Calculated Retained Earnings Date Range</t>
  </si>
  <si>
    <t>Posted Retained Earnings Date Range</t>
  </si>
  <si>
    <t>(today)</t>
  </si>
  <si>
    <t>Retained Earnings (Posted to GL)</t>
  </si>
  <si>
    <t>PLUS Calculated Retained Earnings:</t>
  </si>
  <si>
    <t>Total Retained Earnings:</t>
  </si>
  <si>
    <t>XreAmount</t>
  </si>
  <si>
    <t>TOTAL ARCHIVED:</t>
  </si>
  <si>
    <t>RE from Xero:</t>
  </si>
  <si>
    <t>Calculated RE:</t>
  </si>
  <si>
    <t>XTB</t>
  </si>
  <si>
    <t>Balance</t>
  </si>
  <si>
    <t>Report Totals:</t>
  </si>
  <si>
    <t>Fiscal Year End Month</t>
  </si>
  <si>
    <t>January</t>
  </si>
  <si>
    <t>February</t>
  </si>
  <si>
    <t>March</t>
  </si>
  <si>
    <t>April</t>
  </si>
  <si>
    <t>May</t>
  </si>
  <si>
    <t>June</t>
  </si>
  <si>
    <t>July</t>
  </si>
  <si>
    <t>August</t>
  </si>
  <si>
    <t>September</t>
  </si>
  <si>
    <t>October</t>
  </si>
  <si>
    <t>November</t>
  </si>
  <si>
    <t>December</t>
  </si>
  <si>
    <t>Report Date (as at Today)</t>
  </si>
  <si>
    <t>to</t>
  </si>
  <si>
    <t>Base Data Entry:</t>
  </si>
  <si>
    <t>Months</t>
  </si>
  <si>
    <t>Enter or paste your Scott's Org ID into cell D5 above.  The Org ID is found in the add-in Organizations tab.</t>
  </si>
  <si>
    <t>1)</t>
  </si>
  <si>
    <t>2)</t>
  </si>
  <si>
    <t>3)</t>
  </si>
  <si>
    <t>In cell D7 above, select your company's year end month (the current financial year will be displayed on row 8).</t>
  </si>
  <si>
    <t>4)</t>
  </si>
  <si>
    <t>5)</t>
  </si>
  <si>
    <t>6)</t>
  </si>
  <si>
    <t>Enter your retained earnings account code in cell D6 above (the account description will be verified in cell E6).</t>
  </si>
  <si>
    <t>Current Financial Year</t>
  </si>
  <si>
    <t>Retained Earnings will not report the correct balance organically.  This is a limitation of Xero's API that we are currently working on a solution for.</t>
  </si>
  <si>
    <t>&gt;  As a workaround, Retained Earnings will be calculated based on the account code entered in cell D6 above, and included in the current period.</t>
  </si>
  <si>
    <t>Xero Multi-currency users.  The add-in currently cannot return re-valued amounts for Xero balance sheet accounts affected by multi-currency revaluations.</t>
  </si>
  <si>
    <t>&gt;  These accounts include AR and AP.  We are working on a solution for this.</t>
  </si>
  <si>
    <t>Scott's CHART function is used to populate the report with account Codes, Names etc. for every GL Account set up in the organisation.</t>
  </si>
  <si>
    <t>Scott's GL function then matches the GL Account code back to Xero and populates based on YTD up to today.</t>
  </si>
  <si>
    <t>&gt;  You can enter a custom report date in cell D8 above, if desired.</t>
  </si>
  <si>
    <t>The Totals for the Trial Balance are at the top of the Report to enable different numbers of accounts.</t>
  </si>
  <si>
    <t>7)</t>
  </si>
  <si>
    <t>If you have archived accounts, these will not currently show in the Chart of Accounts generated by the CHART function.</t>
  </si>
  <si>
    <t>8)</t>
  </si>
  <si>
    <t>9)</t>
  </si>
  <si>
    <t>"Normal" balances for accounts are represented by a +positive sign.  Abnormal balances are represented by a -negative.</t>
  </si>
  <si>
    <t>&gt;  For example: an Expense account with a -negative sign, would indicate a Credit balance (abnormal).</t>
  </si>
  <si>
    <t>10)</t>
  </si>
  <si>
    <t>The Information sheet is protected (without a password) to prevent accidental changes to the date formulas.</t>
  </si>
  <si>
    <t>&gt;  You can see this in cell A8 on the Trial Balance sheet.</t>
  </si>
  <si>
    <r>
      <t xml:space="preserve">&gt;  To revert back to today's date, enter the formula </t>
    </r>
    <r>
      <rPr>
        <b/>
        <sz val="12"/>
        <color theme="1"/>
        <rFont val="Calibri"/>
        <family val="2"/>
        <scheme val="minor"/>
      </rPr>
      <t>=TODAY()</t>
    </r>
    <r>
      <rPr>
        <sz val="12"/>
        <color theme="1"/>
        <rFont val="Calibri"/>
        <family val="2"/>
        <scheme val="minor"/>
      </rPr>
      <t xml:space="preserve"> in cell D8 above.</t>
    </r>
  </si>
  <si>
    <r>
      <t xml:space="preserve">&gt;  On the Archived Accounts sheet, you </t>
    </r>
    <r>
      <rPr>
        <b/>
        <sz val="12"/>
        <color theme="1"/>
        <rFont val="Calibri"/>
        <family val="2"/>
        <scheme val="minor"/>
      </rPr>
      <t>MUST</t>
    </r>
    <r>
      <rPr>
        <sz val="12"/>
        <color theme="1"/>
        <rFont val="Calibri"/>
        <family val="2"/>
        <scheme val="minor"/>
      </rPr>
      <t xml:space="preserve"> manually update the list of archived accounts in order to calculate Retained Earnings.</t>
    </r>
  </si>
  <si>
    <r>
      <t xml:space="preserve">&gt;  You can unprotect this sheet, if desired: on the Ribbon go to the </t>
    </r>
    <r>
      <rPr>
        <b/>
        <sz val="12"/>
        <color theme="1"/>
        <rFont val="Calibri"/>
        <family val="2"/>
        <scheme val="minor"/>
      </rPr>
      <t>Review Tab &gt; Protect Group &gt; Unprotect Sheet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</si>
</sst>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 #,##0.00_-;\-* #,##0.00_-;_-* &quot;-&quot;??_-;_-@_-"/>
    <numFmt numFmtId="165" formatCode="[$-1409]d\ mmmm\ yyyy;@"/>
  </numFmts>
  <fonts count="24" x14ac:knownFonts="1">
    <font>
      <sz val="11"/>
      <color theme="1"/>
      <name val="Calibri"/>
      <family val="2"/>
      <scheme val="minor"/>
    </font>
    <font>
      <sz val="12"/>
      <color theme="1"/>
      <name val="Calibri"/>
      <family val="2"/>
      <scheme val="minor"/>
    </font>
    <font>
      <b/>
      <sz val="12"/>
      <color theme="1"/>
      <name val="Calibri"/>
      <family val="2"/>
      <scheme val="minor"/>
    </font>
    <font>
      <b/>
      <sz val="12"/>
      <color rgb="FFFF0000"/>
      <name val="Calibri"/>
      <family val="2"/>
      <scheme val="minor"/>
    </font>
    <font>
      <sz val="10"/>
      <name val="Arial"/>
      <family val="2"/>
    </font>
    <font>
      <sz val="11"/>
      <color theme="1"/>
      <name val="Arial"/>
      <family val="2"/>
    </font>
    <font>
      <b/>
      <sz val="14"/>
      <color theme="1"/>
      <name val="Calibri"/>
      <family val="2"/>
      <scheme val="minor"/>
    </font>
    <font>
      <sz val="9"/>
      <color indexed="81"/>
      <name val="Tahoma"/>
      <family val="2"/>
    </font>
    <font>
      <b/>
      <sz val="9"/>
      <color indexed="81"/>
      <name val="Tahoma"/>
      <family val="2"/>
    </font>
    <font>
      <b/>
      <sz val="11"/>
      <color theme="1"/>
      <name val="Calibri"/>
      <family val="2"/>
      <scheme val="minor"/>
    </font>
    <font>
      <b/>
      <sz val="20"/>
      <name val="Cambria"/>
      <family val="1"/>
    </font>
    <font>
      <sz val="12"/>
      <color rgb="FF00B0F0"/>
      <name val="Calibri"/>
      <family val="2"/>
      <scheme val="minor"/>
    </font>
    <font>
      <b/>
      <sz val="11"/>
      <color rgb="FF00B0F0"/>
      <name val="Calibri"/>
      <family val="2"/>
      <scheme val="minor"/>
    </font>
    <font>
      <sz val="11"/>
      <color rgb="FF00B0F0"/>
      <name val="Calibri"/>
      <family val="2"/>
      <scheme val="minor"/>
    </font>
    <font>
      <b/>
      <sz val="11"/>
      <color rgb="FF00B050"/>
      <name val="Calibri"/>
      <family val="2"/>
      <scheme val="minor"/>
    </font>
    <font>
      <b/>
      <sz val="16"/>
      <color rgb="FF00B0F0"/>
      <name val="Calibri"/>
      <family val="2"/>
      <scheme val="minor"/>
    </font>
    <font>
      <b/>
      <sz val="11"/>
      <name val="Calibri"/>
      <family val="2"/>
      <scheme val="minor"/>
    </font>
    <font>
      <b/>
      <u/>
      <sz val="11"/>
      <color theme="1"/>
      <name val="Calibri"/>
      <family val="2"/>
      <scheme val="minor"/>
    </font>
    <font>
      <sz val="12"/>
      <color rgb="FF505051"/>
      <name val="Calibri"/>
      <family val="2"/>
      <scheme val="minor"/>
    </font>
    <font>
      <sz val="11"/>
      <color rgb="FF3F3F76"/>
      <name val="Calibri"/>
      <family val="2"/>
      <scheme val="minor"/>
    </font>
    <font>
      <sz val="11"/>
      <color rgb="FFFF0000"/>
      <name val="Calibri"/>
      <family val="2"/>
      <scheme val="minor"/>
    </font>
    <font>
      <sz val="12"/>
      <color rgb="FF3F3F76"/>
      <name val="Calibri"/>
      <family val="2"/>
      <scheme val="minor"/>
    </font>
    <font>
      <b/>
      <sz val="12"/>
      <color rgb="FF00B050"/>
      <name val="Calibri"/>
      <family val="2"/>
      <scheme val="minor"/>
    </font>
    <font>
      <sz val="12"/>
      <name val="Calibri"/>
      <family val="2"/>
      <scheme val="minor"/>
    </font>
  </fonts>
  <fills count="4">
    <fill>
      <patternFill patternType="none"/>
    </fill>
    <fill>
      <patternFill patternType="gray125"/>
    </fill>
    <fill>
      <patternFill patternType="solid">
        <fgColor rgb="FFFFFF00"/>
        <bgColor indexed="64"/>
      </patternFill>
    </fill>
    <fill>
      <patternFill patternType="solid">
        <fgColor rgb="FFFFCC99"/>
      </patternFill>
    </fill>
  </fills>
  <borders count="18">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thin">
        <color rgb="FF000000"/>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rgb="FF7F7F7F"/>
      </left>
      <right style="thin">
        <color rgb="FF7F7F7F"/>
      </right>
      <top style="thin">
        <color rgb="FF7F7F7F"/>
      </top>
      <bottom style="thin">
        <color rgb="FF7F7F7F"/>
      </bottom>
      <diagonal/>
    </border>
  </borders>
  <cellStyleXfs count="5">
    <xf numFmtId="0" fontId="0" fillId="0" borderId="0"/>
    <xf numFmtId="164" fontId="1" fillId="0" borderId="0" applyFont="0" applyFill="0" applyBorder="0" applyAlignment="0" applyProtection="0"/>
    <xf numFmtId="0" fontId="4" fillId="0" borderId="0">
      <alignment vertical="center"/>
    </xf>
    <xf numFmtId="0" fontId="5" fillId="0" borderId="0"/>
    <xf numFmtId="0" fontId="19" fillId="3" borderId="17" applyNumberFormat="0" applyAlignment="0" applyProtection="0"/>
  </cellStyleXfs>
  <cellXfs count="67">
    <xf numFmtId="0" fontId="0" fillId="0" borderId="0" xfId="0"/>
    <xf numFmtId="14" fontId="0" fillId="0" borderId="0" xfId="0" applyNumberFormat="1"/>
    <xf numFmtId="0" fontId="0" fillId="0" borderId="0" xfId="0" applyAlignment="1">
      <alignment vertical="center"/>
    </xf>
    <xf numFmtId="4" fontId="0" fillId="0" borderId="0" xfId="0" applyNumberFormat="1"/>
    <xf numFmtId="4" fontId="0" fillId="0" borderId="0" xfId="1" applyNumberFormat="1" applyFont="1" applyAlignment="1"/>
    <xf numFmtId="0" fontId="0" fillId="0" borderId="14" xfId="0" applyBorder="1" applyAlignment="1">
      <alignment horizontal="centerContinuous"/>
    </xf>
    <xf numFmtId="0" fontId="0" fillId="0" borderId="15" xfId="0" applyBorder="1" applyAlignment="1">
      <alignment horizontal="centerContinuous"/>
    </xf>
    <xf numFmtId="0" fontId="9" fillId="0" borderId="2" xfId="0" applyFont="1" applyBorder="1" applyAlignment="1">
      <alignment horizontal="center" vertical="center"/>
    </xf>
    <xf numFmtId="0" fontId="9" fillId="0" borderId="13" xfId="0" applyFont="1" applyBorder="1" applyAlignment="1">
      <alignment horizontal="centerContinuous"/>
    </xf>
    <xf numFmtId="0" fontId="9" fillId="0" borderId="9" xfId="0" applyFont="1" applyBorder="1" applyAlignment="1">
      <alignment horizontal="left" vertical="center"/>
    </xf>
    <xf numFmtId="0" fontId="9" fillId="0" borderId="9" xfId="0" applyFont="1" applyBorder="1" applyAlignment="1">
      <alignment horizontal="center" vertical="center"/>
    </xf>
    <xf numFmtId="0" fontId="9" fillId="0" borderId="12" xfId="0" applyFont="1" applyBorder="1" applyAlignment="1">
      <alignment horizontal="center" vertical="center"/>
    </xf>
    <xf numFmtId="0" fontId="9" fillId="0" borderId="16" xfId="0" applyFont="1" applyBorder="1"/>
    <xf numFmtId="0" fontId="9" fillId="0" borderId="10" xfId="0" applyFont="1" applyBorder="1"/>
    <xf numFmtId="4" fontId="9" fillId="0" borderId="0" xfId="1" applyNumberFormat="1" applyFont="1" applyBorder="1" applyAlignment="1">
      <alignment vertical="center"/>
    </xf>
    <xf numFmtId="4" fontId="9" fillId="0" borderId="0" xfId="0" applyNumberFormat="1" applyFont="1"/>
    <xf numFmtId="0" fontId="9" fillId="0" borderId="0" xfId="0" applyFont="1" applyAlignment="1">
      <alignment horizontal="right" indent="1"/>
    </xf>
    <xf numFmtId="4" fontId="9" fillId="0" borderId="12" xfId="0" applyNumberFormat="1" applyFont="1" applyBorder="1"/>
    <xf numFmtId="4" fontId="9" fillId="0" borderId="0" xfId="1" applyNumberFormat="1" applyFont="1" applyFill="1" applyBorder="1" applyAlignment="1">
      <alignment vertical="center"/>
    </xf>
    <xf numFmtId="0" fontId="10" fillId="0" borderId="0" xfId="0" applyFont="1" applyAlignment="1">
      <alignment vertical="center"/>
    </xf>
    <xf numFmtId="0" fontId="0" fillId="0" borderId="0" xfId="0" applyAlignment="1">
      <alignment horizontal="right" indent="1"/>
    </xf>
    <xf numFmtId="0" fontId="11" fillId="0" borderId="0" xfId="0" applyFont="1" applyAlignment="1">
      <alignment vertical="center"/>
    </xf>
    <xf numFmtId="0" fontId="12" fillId="0" borderId="0" xfId="0" applyFont="1" applyAlignment="1">
      <alignment vertical="center"/>
    </xf>
    <xf numFmtId="4" fontId="12" fillId="0" borderId="0" xfId="0" applyNumberFormat="1" applyFont="1" applyAlignment="1">
      <alignment vertical="center"/>
    </xf>
    <xf numFmtId="0" fontId="13" fillId="0" borderId="0" xfId="0" applyFont="1" applyAlignment="1">
      <alignment vertical="center"/>
    </xf>
    <xf numFmtId="165" fontId="0" fillId="0" borderId="0" xfId="0" applyNumberFormat="1" applyAlignment="1">
      <alignment vertical="center"/>
    </xf>
    <xf numFmtId="0" fontId="9" fillId="0" borderId="0" xfId="0" applyFont="1" applyAlignment="1">
      <alignment vertical="center"/>
    </xf>
    <xf numFmtId="4" fontId="9" fillId="0" borderId="11" xfId="0" applyNumberFormat="1" applyFont="1" applyBorder="1" applyAlignment="1">
      <alignment vertical="center"/>
    </xf>
    <xf numFmtId="164" fontId="9" fillId="0" borderId="0" xfId="0" applyNumberFormat="1" applyFont="1" applyAlignment="1">
      <alignment vertical="center"/>
    </xf>
    <xf numFmtId="4" fontId="9" fillId="0" borderId="0" xfId="0" applyNumberFormat="1" applyFont="1" applyAlignment="1">
      <alignment vertical="center"/>
    </xf>
    <xf numFmtId="4" fontId="14" fillId="0" borderId="11" xfId="0" applyNumberFormat="1" applyFont="1" applyBorder="1" applyAlignment="1">
      <alignment vertical="center"/>
    </xf>
    <xf numFmtId="0" fontId="15" fillId="0" borderId="0" xfId="0" applyFont="1" applyAlignment="1">
      <alignment vertical="center"/>
    </xf>
    <xf numFmtId="0" fontId="16" fillId="0" borderId="0" xfId="0" applyFont="1" applyAlignment="1">
      <alignment vertical="center"/>
    </xf>
    <xf numFmtId="0" fontId="17" fillId="0" borderId="0" xfId="0" applyFont="1"/>
    <xf numFmtId="4" fontId="0" fillId="0" borderId="0" xfId="1" applyNumberFormat="1" applyFont="1" applyBorder="1" applyAlignment="1"/>
    <xf numFmtId="4" fontId="0" fillId="0" borderId="0" xfId="1" applyNumberFormat="1" applyFont="1" applyFill="1" applyBorder="1" applyAlignment="1"/>
    <xf numFmtId="0" fontId="9" fillId="0" borderId="10" xfId="0" applyFont="1" applyBorder="1" applyAlignment="1">
      <alignment horizontal="center"/>
    </xf>
    <xf numFmtId="0" fontId="18" fillId="0" borderId="10" xfId="0" applyFont="1" applyBorder="1" applyAlignment="1" applyProtection="1">
      <alignment horizontal="center"/>
      <protection locked="0"/>
    </xf>
    <xf numFmtId="49" fontId="18" fillId="0" borderId="10" xfId="0" applyNumberFormat="1" applyFont="1" applyBorder="1" applyAlignment="1" applyProtection="1">
      <alignment horizontal="center"/>
      <protection locked="0"/>
    </xf>
    <xf numFmtId="0" fontId="17" fillId="0" borderId="0" xfId="0" applyFont="1" applyProtection="1"/>
    <xf numFmtId="0" fontId="0" fillId="0" borderId="0" xfId="0" applyProtection="1"/>
    <xf numFmtId="0" fontId="3" fillId="2" borderId="1" xfId="0" applyFont="1" applyFill="1" applyBorder="1" applyProtection="1"/>
    <xf numFmtId="0" fontId="1" fillId="2" borderId="2" xfId="0" applyFont="1" applyFill="1" applyBorder="1" applyProtection="1"/>
    <xf numFmtId="0" fontId="1" fillId="2" borderId="3" xfId="0" applyFont="1" applyFill="1" applyBorder="1" applyProtection="1"/>
    <xf numFmtId="0" fontId="3" fillId="2" borderId="4" xfId="0" applyFont="1" applyFill="1" applyBorder="1" applyProtection="1"/>
    <xf numFmtId="0" fontId="1" fillId="2" borderId="0" xfId="0" applyFont="1" applyFill="1" applyProtection="1"/>
    <xf numFmtId="0" fontId="1" fillId="2" borderId="5" xfId="0" applyFont="1" applyFill="1" applyBorder="1" applyProtection="1"/>
    <xf numFmtId="0" fontId="1" fillId="2" borderId="0" xfId="0" applyFont="1" applyFill="1" applyAlignment="1" applyProtection="1">
      <alignment horizontal="center"/>
    </xf>
    <xf numFmtId="0" fontId="2" fillId="2" borderId="4" xfId="0" applyFont="1" applyFill="1" applyBorder="1" applyProtection="1"/>
    <xf numFmtId="0" fontId="2" fillId="2" borderId="6" xfId="0" applyFont="1" applyFill="1" applyBorder="1" applyProtection="1"/>
    <xf numFmtId="14" fontId="1" fillId="2" borderId="7" xfId="0" applyNumberFormat="1" applyFont="1" applyFill="1" applyBorder="1" applyAlignment="1" applyProtection="1">
      <alignment horizontal="center"/>
    </xf>
    <xf numFmtId="0" fontId="2" fillId="2" borderId="7" xfId="0" applyFont="1" applyFill="1" applyBorder="1" applyAlignment="1" applyProtection="1">
      <alignment horizontal="center"/>
    </xf>
    <xf numFmtId="14" fontId="1" fillId="2" borderId="7" xfId="0" applyNumberFormat="1" applyFont="1" applyFill="1" applyBorder="1" applyAlignment="1" applyProtection="1">
      <alignment horizontal="center" vertical="top" wrapText="1"/>
    </xf>
    <xf numFmtId="0" fontId="22" fillId="2" borderId="7" xfId="0" applyFont="1" applyFill="1" applyBorder="1" applyProtection="1"/>
    <xf numFmtId="0" fontId="1" fillId="2" borderId="7" xfId="0" applyFont="1" applyFill="1" applyBorder="1" applyProtection="1"/>
    <xf numFmtId="0" fontId="1" fillId="2" borderId="8" xfId="0" applyFont="1" applyFill="1" applyBorder="1" applyProtection="1"/>
    <xf numFmtId="0" fontId="6" fillId="0" borderId="0" xfId="0" applyFont="1" applyProtection="1"/>
    <xf numFmtId="14" fontId="21" fillId="3" borderId="17" xfId="4" applyNumberFormat="1" applyFont="1" applyAlignment="1" applyProtection="1">
      <alignment horizontal="center"/>
      <protection locked="0"/>
    </xf>
    <xf numFmtId="0" fontId="1" fillId="0" borderId="0" xfId="0" applyFont="1" applyProtection="1"/>
    <xf numFmtId="0" fontId="0" fillId="0" borderId="0" xfId="0" applyFont="1" applyProtection="1"/>
    <xf numFmtId="0" fontId="1" fillId="0" borderId="0" xfId="0" applyFont="1" applyAlignment="1" applyProtection="1"/>
    <xf numFmtId="0" fontId="1" fillId="0" borderId="0" xfId="0" applyFont="1" applyAlignment="1" applyProtection="1">
      <alignment horizontal="left" indent="1"/>
    </xf>
    <xf numFmtId="0" fontId="23" fillId="0" borderId="0" xfId="0" applyFont="1" applyAlignment="1" applyProtection="1">
      <alignment horizontal="left"/>
    </xf>
    <xf numFmtId="0" fontId="23" fillId="0" borderId="0" xfId="0" applyFont="1" applyAlignment="1" applyProtection="1">
      <alignment horizontal="left" indent="1"/>
    </xf>
    <xf numFmtId="0" fontId="1" fillId="0" borderId="0" xfId="0" applyFont="1" applyAlignment="1" applyProtection="1">
      <alignment horizontal="left"/>
    </xf>
    <xf numFmtId="0" fontId="0" fillId="0" borderId="0" xfId="0" applyNumberFormat="1" applyFont="1" applyProtection="1"/>
    <xf numFmtId="0" fontId="20" fillId="0" borderId="0" xfId="0" applyNumberFormat="1" applyFont="1" applyProtection="1"/>
  </cellXfs>
  <cellStyles count="5">
    <cellStyle name="Comma" xfId="1" builtinId="3"/>
    <cellStyle name="Input" xfId="4" builtinId="20"/>
    <cellStyle name="Normal" xfId="0" builtinId="0"/>
    <cellStyle name="Normal 2" xfId="2" xr:uid="{15C028B2-5D9C-4111-BB6D-C427433D9811}"/>
    <cellStyle name="Normal 3" xfId="3" xr:uid="{06C2C3FD-B433-4AA2-9CB4-EC37F9A2949E}"/>
  </cellStyles>
  <dxfs count="5">
    <dxf>
      <font>
        <b/>
        <i val="0"/>
        <color rgb="FFFF0000"/>
      </font>
      <fill>
        <patternFill>
          <bgColor rgb="FFFFFF00"/>
        </patternFill>
      </fill>
    </dxf>
    <dxf>
      <font>
        <b/>
        <i val="0"/>
        <color rgb="FFFF0000"/>
      </font>
    </dxf>
    <dxf>
      <numFmt numFmtId="4" formatCode="#,##0.00"/>
    </dxf>
    <dxf>
      <numFmt numFmtId="0" formatCode="General"/>
    </dxf>
    <dxf>
      <numFmt numFmtId="0" formatCode="General"/>
    </dxf>
  </dxfs>
  <tableStyles count="0" defaultTableStyle="TableStyleMedium2" defaultPivotStyle="PivotStyleLight16"/>
  <colors>
    <mruColors>
      <color rgb="FFCCFFFF"/>
      <color rgb="FFCCFFCC"/>
      <color rgb="FFCCFF99"/>
      <color rgb="FFCCCCFF"/>
      <color rgb="FFC0C0C0"/>
      <color rgb="FFFF9999"/>
      <color rgb="FF0563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1.png"/><Relationship Id="rId1" Type="http://schemas.openxmlformats.org/officeDocument/2006/relationships/hyperlink" Target="https://store.office.com:443/destroute?osid=84e39b61-e006-4173-8a88-a4a1e5422dc4&amp;ai=WA200000095&amp;rs=en-001&amp;ta=HE" TargetMode="External"/><Relationship Id="rId4"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13</xdr:col>
      <xdr:colOff>6383</xdr:colOff>
      <xdr:row>39</xdr:row>
      <xdr:rowOff>6350</xdr:rowOff>
    </xdr:to>
    <xdr:grpSp>
      <xdr:nvGrpSpPr>
        <xdr:cNvPr id="2" name="GroupName">
          <a:extLst>
            <a:ext uri="{FF2B5EF4-FFF2-40B4-BE49-F238E27FC236}">
              <a16:creationId xmlns:a16="http://schemas.microsoft.com/office/drawing/2014/main" id="{AE78BA04-CF16-4C74-98B9-8DACE646475B}"/>
            </a:ext>
          </a:extLst>
        </xdr:cNvPr>
        <xdr:cNvGrpSpPr/>
      </xdr:nvGrpSpPr>
      <xdr:grpSpPr>
        <a:xfrm>
          <a:off x="0" y="0"/>
          <a:ext cx="7931183" cy="7064375"/>
          <a:chOff x="0" y="0"/>
          <a:chExt cx="10547394" cy="7626350"/>
        </a:xfrm>
      </xdr:grpSpPr>
      <xdr:sp macro="" textlink="">
        <xdr:nvSpPr>
          <xdr:cNvPr id="14" name="Background">
            <a:extLst>
              <a:ext uri="{FF2B5EF4-FFF2-40B4-BE49-F238E27FC236}">
                <a16:creationId xmlns:a16="http://schemas.microsoft.com/office/drawing/2014/main" id="{073E1467-8F07-4DC8-BA59-4882BB15403C}"/>
              </a:ext>
            </a:extLst>
          </xdr:cNvPr>
          <xdr:cNvSpPr/>
        </xdr:nvSpPr>
        <xdr:spPr>
          <a:xfrm>
            <a:off x="0" y="0"/>
            <a:ext cx="10534691" cy="762635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IE" sz="1100"/>
          </a:p>
        </xdr:txBody>
      </xdr:sp>
      <xdr:sp macro="" textlink="">
        <xdr:nvSpPr>
          <xdr:cNvPr id="32" name="OtherAppsContent">
            <a:extLst>
              <a:ext uri="{FF2B5EF4-FFF2-40B4-BE49-F238E27FC236}">
                <a16:creationId xmlns:a16="http://schemas.microsoft.com/office/drawing/2014/main" id="{74690AC1-7226-4506-BCA3-549869736BDC}"/>
              </a:ext>
            </a:extLst>
          </xdr:cNvPr>
          <xdr:cNvSpPr txBox="1"/>
        </xdr:nvSpPr>
        <xdr:spPr>
          <a:xfrm>
            <a:off x="912447" y="6763789"/>
            <a:ext cx="9634947" cy="2940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rtlCol="0" anchor="ctr" anchorCtr="0">
            <a:spAutoFit/>
          </a:bodyPr>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indent="0" algn="l" defTabSz="914400" rtl="0" eaLnBrk="1" latinLnBrk="0" hangingPunct="1"/>
            <a:endParaRPr/>
          </a:p>
        </xdr:txBody>
      </xdr:sp>
      <xdr:sp macro="" textlink="">
        <xdr:nvSpPr>
          <xdr:cNvPr id="33" name="OtherAppsHeader">
            <a:extLst>
              <a:ext uri="{FF2B5EF4-FFF2-40B4-BE49-F238E27FC236}">
                <a16:creationId xmlns:a16="http://schemas.microsoft.com/office/drawing/2014/main" id="{0D640A13-CBB2-46AE-9AD4-42CBFEBF0D26}"/>
              </a:ext>
            </a:extLst>
          </xdr:cNvPr>
          <xdr:cNvSpPr txBox="1"/>
        </xdr:nvSpPr>
        <xdr:spPr>
          <a:xfrm>
            <a:off x="912446" y="6407228"/>
            <a:ext cx="9634946" cy="33996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rtlCol="0" anchor="ctr" anchorCtr="0">
            <a:normAutofit lnSpcReduction="10000"/>
          </a:bodyPr>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indent="0" algn="l" defTabSz="914400" rtl="0" eaLnBrk="1" latinLnBrk="0" hangingPunct="1"/>
            <a:endParaRPr/>
          </a:p>
        </xdr:txBody>
      </xdr:sp>
      <xdr:sp macro="" textlink="">
        <xdr:nvSpPr>
          <xdr:cNvPr id="36" name="InstallationHelpContent">
            <a:hlinkClick xmlns:r="http://schemas.openxmlformats.org/officeDocument/2006/relationships" r:id="rId1"/>
            <a:extLst>
              <a:ext uri="{FF2B5EF4-FFF2-40B4-BE49-F238E27FC236}">
                <a16:creationId xmlns:a16="http://schemas.microsoft.com/office/drawing/2014/main" id="{35189EA5-1324-42DD-8EBE-616EF92E1C5B}"/>
              </a:ext>
            </a:extLst>
          </xdr:cNvPr>
          <xdr:cNvSpPr txBox="1"/>
        </xdr:nvSpPr>
        <xdr:spPr>
          <a:xfrm>
            <a:off x="912446" y="5563559"/>
            <a:ext cx="9622246" cy="50114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rtlCol="0" anchor="ctr" anchorCtr="0">
            <a:spAutoFit/>
          </a:bodyPr>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r>
              <a:rPr lang="en-US" sz="1200" b="0" i="0">
                <a:latin typeface="Segoe UI" panose="020B0502040204020203" pitchFamily="34" charset="0"/>
                <a:cs typeface="Segoe UI" panose="020B0502040204020203" pitchFamily="34" charset="0"/>
              </a:rPr>
              <a:t>Return to your internet browser or copy this link into your browser:</a:t>
            </a:r>
          </a:p>
          <a:p>
            <a:pPr marL="0" indent="0" algn="l" defTabSz="914400" rtl="0" eaLnBrk="1" latinLnBrk="0" hangingPunct="1"/>
            <a:r>
              <a:rPr lang="en-US" sz="1200" b="0" i="0" u="sng" kern="1200">
                <a:solidFill>
                  <a:srgbClr val="0563C1"/>
                </a:solidFill>
                <a:latin typeface="Segoe UI" panose="020B0502040204020203" pitchFamily="34" charset="0"/>
                <a:ea typeface="+mn-ea"/>
                <a:cs typeface="Segoe UI" panose="020B0502040204020203" pitchFamily="34" charset="0"/>
              </a:rPr>
              <a:t>https://store.office.com/destroute?osid=84e39b61-e006-4173-8a88-a4a1e5422dc4&amp;ai=WA200000095&amp;rs=en-001&amp;ta=HE</a:t>
            </a:r>
          </a:p>
        </xdr:txBody>
      </xdr:sp>
      <xdr:sp macro="" textlink="">
        <xdr:nvSpPr>
          <xdr:cNvPr id="37" name="InstallationHelpHeader">
            <a:extLst>
              <a:ext uri="{FF2B5EF4-FFF2-40B4-BE49-F238E27FC236}">
                <a16:creationId xmlns:a16="http://schemas.microsoft.com/office/drawing/2014/main" id="{0AD63894-8D6E-4682-872C-5B2148E5455D}"/>
              </a:ext>
            </a:extLst>
          </xdr:cNvPr>
          <xdr:cNvSpPr txBox="1"/>
        </xdr:nvSpPr>
        <xdr:spPr>
          <a:xfrm>
            <a:off x="912446" y="5219725"/>
            <a:ext cx="9622245" cy="34383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rtlCol="0" anchor="ctr" anchorCtr="0">
            <a:normAutofit lnSpcReduction="10000"/>
          </a:bodyPr>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r>
              <a:rPr lang="en-US" sz="1800" b="0" i="0">
                <a:latin typeface="Segoe UI Light" panose="020B0502040204020203" pitchFamily="34" charset="0"/>
                <a:cs typeface="Segoe UI Light" panose="020B0502040204020203" pitchFamily="34" charset="0"/>
              </a:rPr>
              <a:t>Need more help?</a:t>
            </a:r>
          </a:p>
        </xdr:txBody>
      </xdr:sp>
      <xdr:pic>
        <xdr:nvPicPr>
          <xdr:cNvPr id="16" name="LaunchHelpImage" descr="Office ribbon open on the Home tab.">
            <a:extLst>
              <a:ext uri="{FF2B5EF4-FFF2-40B4-BE49-F238E27FC236}">
                <a16:creationId xmlns:a16="http://schemas.microsoft.com/office/drawing/2014/main" id="{0F8E4033-DE75-404D-B028-28D0EEF181FE}"/>
              </a:ext>
            </a:extLst>
          </xdr:cNvPr>
          <xdr:cNvPicPr>
            <a:picLocks/>
          </xdr:cNvPicPr>
        </xdr:nvPicPr>
        <xdr:blipFill>
          <a:blip xmlns:r="http://schemas.openxmlformats.org/officeDocument/2006/relationships" r:embed="rId2"/>
          <a:stretch>
            <a:fillRect/>
          </a:stretch>
        </xdr:blipFill>
        <xdr:spPr>
          <a:xfrm>
            <a:off x="912446" y="2782779"/>
            <a:ext cx="5929327" cy="2086762"/>
          </a:xfrm>
          <a:prstGeom prst="rect">
            <a:avLst/>
          </a:prstGeom>
          <a:ln>
            <a:noFill/>
          </a:ln>
        </xdr:spPr>
      </xdr:pic>
      <xdr:sp macro="" textlink="">
        <xdr:nvSpPr>
          <xdr:cNvPr id="15" name="GroupName">
            <a:extLst>
              <a:ext uri="{FF2B5EF4-FFF2-40B4-BE49-F238E27FC236}">
                <a16:creationId xmlns:a16="http://schemas.microsoft.com/office/drawing/2014/main" id="{A6817EF0-1454-46EA-8D01-85B74F1678B5}"/>
              </a:ext>
            </a:extLst>
          </xdr:cNvPr>
          <xdr:cNvSpPr txBox="1"/>
        </xdr:nvSpPr>
        <xdr:spPr>
          <a:xfrm>
            <a:off x="5388720" y="4173572"/>
            <a:ext cx="908001" cy="309809"/>
          </a:xfrm>
          <a:prstGeom prst="rect">
            <a:avLst/>
          </a:prstGeom>
          <a:noFill/>
        </xdr:spPr>
        <xdr:txBody>
          <a:bodyPr wrap="square" lIns="0" tIns="0" rIns="0" bIns="0" rtlCol="0" anchor="ctr" anchorCtr="0">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lnSpc>
                <a:spcPct val="106000"/>
              </a:lnSpc>
              <a:spcAft>
                <a:spcPts val="0"/>
              </a:spcAft>
            </a:pPr>
            <a:r>
              <a:rPr lang="en-GB" sz="800" kern="1200">
                <a:solidFill>
                  <a:srgbClr val="404040"/>
                </a:solidFill>
                <a:effectLst/>
                <a:latin typeface="Segoe UI" panose="020B0502040204020203" pitchFamily="34" charset="0"/>
                <a:ea typeface="Times New Roman" panose="02020603050405020304" pitchFamily="18" charset="0"/>
                <a:cs typeface="Segoe UI" panose="020B0502040204020203" pitchFamily="34" charset="0"/>
              </a:rPr>
              <a:t>Scott's</a:t>
            </a:r>
            <a:endParaRPr lang="en-IE" sz="1200">
              <a:effectLst/>
              <a:latin typeface="Segoe UI" panose="020B0502040204020203" pitchFamily="34" charset="0"/>
              <a:ea typeface="Times New Roman" panose="02020603050405020304" pitchFamily="18" charset="0"/>
              <a:cs typeface="Segoe UI" panose="020B0502040204020203" pitchFamily="34" charset="0"/>
            </a:endParaRPr>
          </a:p>
        </xdr:txBody>
      </xdr:sp>
      <xdr:pic>
        <xdr:nvPicPr>
          <xdr:cNvPr id="39" name="CommandButton" descr="Command button for Scott's Add-ins for Xero.">
            <a:extLst>
              <a:ext uri="{FF2B5EF4-FFF2-40B4-BE49-F238E27FC236}">
                <a16:creationId xmlns:a16="http://schemas.microsoft.com/office/drawing/2014/main" id="{14ACEC7E-44DC-4800-844B-855892650726}"/>
              </a:ext>
            </a:extLst>
          </xdr:cNvPr>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5598021" y="3345116"/>
            <a:ext cx="471922" cy="475916"/>
          </a:xfrm>
          <a:prstGeom prst="rect">
            <a:avLst/>
          </a:prstGeom>
          <a:noFill/>
        </xdr:spPr>
      </xdr:pic>
      <xdr:sp macro="" textlink="">
        <xdr:nvSpPr>
          <xdr:cNvPr id="40" name="TabName">
            <a:extLst>
              <a:ext uri="{FF2B5EF4-FFF2-40B4-BE49-F238E27FC236}">
                <a16:creationId xmlns:a16="http://schemas.microsoft.com/office/drawing/2014/main" id="{714FFE5A-10D6-4C37-9966-6D547D6ED4EC}"/>
              </a:ext>
            </a:extLst>
          </xdr:cNvPr>
          <xdr:cNvSpPr txBox="1"/>
        </xdr:nvSpPr>
        <xdr:spPr>
          <a:xfrm>
            <a:off x="1661792" y="3064905"/>
            <a:ext cx="1129178" cy="315771"/>
          </a:xfrm>
          <a:prstGeom prst="rect">
            <a:avLst/>
          </a:prstGeom>
          <a:noFill/>
        </xdr:spPr>
        <xdr:txBody>
          <a:bodyPr wrap="square" lIns="0" tIns="0" rIns="0" bIns="0" rtlCol="0" anchor="ctr" anchorCtr="0">
            <a:noAutofit/>
          </a:bodyPr>
          <a:lstStyle/>
          <a:p>
            <a:pPr algn="ctr">
              <a:lnSpc>
                <a:spcPct val="105000"/>
              </a:lnSpc>
              <a:spcAft>
                <a:spcPts val="0"/>
              </a:spcAft>
            </a:pPr>
            <a:r>
              <a:rPr lang="en-GB" sz="1000" kern="1200">
                <a:solidFill>
                  <a:srgbClr val="217346"/>
                </a:solidFill>
                <a:effectLst/>
                <a:latin typeface="Segoe UI Semibold" panose="020B0702040204020203" pitchFamily="34" charset="0"/>
                <a:ea typeface="Times New Roman" panose="02020603050405020304" pitchFamily="18" charset="0"/>
              </a:rPr>
              <a:t>Home</a:t>
            </a:r>
            <a:endParaRPr lang="en-IE" sz="1200">
              <a:solidFill>
                <a:srgbClr val="217346"/>
              </a:solidFill>
              <a:effectLst/>
              <a:latin typeface="Times New Roman" panose="02020603050405020304" pitchFamily="18" charset="0"/>
              <a:ea typeface="Times New Roman" panose="02020603050405020304" pitchFamily="18" charset="0"/>
            </a:endParaRPr>
          </a:p>
        </xdr:txBody>
      </xdr:sp>
      <xdr:sp macro="" textlink="">
        <xdr:nvSpPr>
          <xdr:cNvPr id="41" name="LaunchHelpContent2">
            <a:extLst>
              <a:ext uri="{FF2B5EF4-FFF2-40B4-BE49-F238E27FC236}">
                <a16:creationId xmlns:a16="http://schemas.microsoft.com/office/drawing/2014/main" id="{94BC9635-A68F-454A-A7D9-2BCB8CFDF1BC}"/>
              </a:ext>
            </a:extLst>
          </xdr:cNvPr>
          <xdr:cNvSpPr txBox="1"/>
        </xdr:nvSpPr>
        <xdr:spPr>
          <a:xfrm>
            <a:off x="912447" y="2490830"/>
            <a:ext cx="9628580" cy="3311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none" lIns="0" rtlCol="0" anchor="ctr" anchorCtr="0">
            <a:noAutofit/>
          </a:bodyPr>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r>
              <a:rPr lang="en-US" sz="1200" b="0" i="0" baseline="0">
                <a:latin typeface="Segoe UI Semibold" panose="020B0702040204020203" pitchFamily="34" charset="0"/>
                <a:cs typeface="Segoe UI Semibold" panose="020B0702040204020203" pitchFamily="34" charset="0"/>
              </a:rPr>
              <a:t>On the Home tab</a:t>
            </a:r>
            <a:endParaRPr lang="en-US" sz="1200" b="0" i="0">
              <a:latin typeface="Segoe UI Semibold" panose="020B0702040204020203" pitchFamily="34" charset="0"/>
              <a:cs typeface="Segoe UI Semibold" panose="020B0702040204020203" pitchFamily="34" charset="0"/>
            </a:endParaRPr>
          </a:p>
        </xdr:txBody>
      </xdr:sp>
      <xdr:sp macro="" textlink="">
        <xdr:nvSpPr>
          <xdr:cNvPr id="42" name="LaunchHelpContent1">
            <a:extLst>
              <a:ext uri="{FF2B5EF4-FFF2-40B4-BE49-F238E27FC236}">
                <a16:creationId xmlns:a16="http://schemas.microsoft.com/office/drawing/2014/main" id="{95562660-9FFC-4C01-8DC7-4EDE3014CA51}"/>
              </a:ext>
            </a:extLst>
          </xdr:cNvPr>
          <xdr:cNvSpPr txBox="1"/>
        </xdr:nvSpPr>
        <xdr:spPr>
          <a:xfrm>
            <a:off x="912447" y="2118089"/>
            <a:ext cx="9628580" cy="33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none" lIns="0" rtlCol="0" anchor="ctr" anchorCtr="0">
            <a:noAutofit/>
          </a:bodyPr>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r>
              <a:rPr lang="en-US" sz="1200" b="0" i="0">
                <a:latin typeface="Segoe UI" panose="020B0502040204020203" pitchFamily="34" charset="0"/>
                <a:cs typeface="Segoe UI" panose="020B0502040204020203" pitchFamily="34" charset="0"/>
              </a:rPr>
              <a:t>After you install the add-in, you can launch it by choosing the add-in button on the Home tab</a:t>
            </a:r>
            <a:endParaRPr lang="en-US" sz="1200" b="1" i="0">
              <a:latin typeface="Segoe UI" panose="020B0502040204020203" pitchFamily="34" charset="0"/>
              <a:cs typeface="Segoe UI" panose="020B0502040204020203" pitchFamily="34" charset="0"/>
            </a:endParaRPr>
          </a:p>
        </xdr:txBody>
      </xdr:sp>
      <xdr:sp macro="" textlink="">
        <xdr:nvSpPr>
          <xdr:cNvPr id="43" name="LaunchHelpHeader">
            <a:extLst>
              <a:ext uri="{FF2B5EF4-FFF2-40B4-BE49-F238E27FC236}">
                <a16:creationId xmlns:a16="http://schemas.microsoft.com/office/drawing/2014/main" id="{95EC41EE-7B76-421B-906D-8355B601BBE9}"/>
              </a:ext>
            </a:extLst>
          </xdr:cNvPr>
          <xdr:cNvSpPr txBox="1"/>
        </xdr:nvSpPr>
        <xdr:spPr>
          <a:xfrm>
            <a:off x="912447" y="1569427"/>
            <a:ext cx="9628580" cy="493377"/>
          </a:xfrm>
          <a:prstGeom prst="rect">
            <a:avLst/>
          </a:prstGeom>
        </xdr:spPr>
        <xdr:txBody>
          <a:bodyPr wrap="none" lIns="0" rtlCol="0" anchor="ctr" anchorCtr="0">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n-US" sz="2400">
                <a:latin typeface="Segoe UI Light" panose="020B0502040204020203" pitchFamily="34" charset="0"/>
                <a:cs typeface="Segoe UI Light" panose="020B0502040204020203" pitchFamily="34" charset="0"/>
              </a:rPr>
              <a:t>Launch the add-in</a:t>
            </a:r>
          </a:p>
        </xdr:txBody>
      </xdr:sp>
      <xdr:sp macro="" textlink="">
        <xdr:nvSpPr>
          <xdr:cNvPr id="34" name="Add-in_Banner">
            <a:extLst>
              <a:ext uri="{FF2B5EF4-FFF2-40B4-BE49-F238E27FC236}">
                <a16:creationId xmlns:a16="http://schemas.microsoft.com/office/drawing/2014/main" id="{BE51DB72-110A-4850-92E2-9D8009DF0808}"/>
              </a:ext>
            </a:extLst>
          </xdr:cNvPr>
          <xdr:cNvSpPr txBox="1"/>
        </xdr:nvSpPr>
        <xdr:spPr>
          <a:xfrm>
            <a:off x="0" y="492369"/>
            <a:ext cx="10541026" cy="671879"/>
          </a:xfrm>
          <a:prstGeom prst="rect">
            <a:avLst/>
          </a:prstGeom>
          <a:solidFill>
            <a:srgbClr val="494748">
              <a:alpha val="4706"/>
            </a:srgb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1332000" tIns="180000" rIns="216000" bIns="180000" numCol="1" spcCol="0" rtlCol="0" fromWordArt="0" anchor="ctr" anchorCtr="0" forceAA="0" compatLnSpc="1">
            <a:prstTxWarp prst="textNoShape">
              <a:avLst/>
            </a:prstTxWarp>
            <a:spAutoFit/>
          </a:bodyPr>
          <a:lstStyle/>
          <a:p>
            <a:pPr>
              <a:spcAft>
                <a:spcPts val="0"/>
              </a:spcAft>
            </a:pPr>
            <a:r>
              <a:rPr lang="en-GB" sz="1800">
                <a:solidFill>
                  <a:srgbClr val="000000"/>
                </a:solidFill>
                <a:effectLst/>
                <a:latin typeface="Segoe UI Light" panose="020B0502040204020203" pitchFamily="34" charset="0"/>
                <a:ea typeface="Calibri" panose="020F0502020204030204" pitchFamily="34" charset="0"/>
                <a:cs typeface="Segoe UI Light" panose="020B0502040204020203" pitchFamily="34" charset="0"/>
              </a:rPr>
              <a:t>Scott's Add-ins for Xero</a:t>
            </a:r>
            <a:endParaRPr lang="en-IE" sz="1200">
              <a:effectLst/>
              <a:latin typeface="Segoe UI Light" panose="020B0502040204020203" pitchFamily="34" charset="0"/>
              <a:ea typeface="Calibri" panose="020F0502020204030204" pitchFamily="34" charset="0"/>
              <a:cs typeface="Segoe UI Light" panose="020B0502040204020203" pitchFamily="34" charset="0"/>
            </a:endParaRPr>
          </a:p>
        </xdr:txBody>
      </xdr:sp>
      <xdr:pic>
        <xdr:nvPicPr>
          <xdr:cNvPr id="35" name="Add-in_Icon" descr="Icon for Scott's Add-ins for Xero.">
            <a:extLst>
              <a:ext uri="{FF2B5EF4-FFF2-40B4-BE49-F238E27FC236}">
                <a16:creationId xmlns:a16="http://schemas.microsoft.com/office/drawing/2014/main" id="{676B5885-CE1D-41F5-B18C-0D99664E1A20}"/>
              </a:ext>
            </a:extLst>
          </xdr:cNvPr>
          <xdr:cNvPicPr/>
        </xdr:nvPicPr>
        <xdr:blipFill>
          <a:blip xmlns:r="http://schemas.openxmlformats.org/officeDocument/2006/relationships" r:embed="rId4"/>
          <a:stretch>
            <a:fillRect/>
          </a:stretch>
        </xdr:blipFill>
        <xdr:spPr bwMode="auto">
          <a:xfrm>
            <a:off x="912446" y="687754"/>
            <a:ext cx="291465" cy="289999"/>
          </a:xfrm>
          <a:prstGeom prst="rect">
            <a:avLst/>
          </a:prstGeom>
          <a:noFill/>
        </xdr:spPr>
      </xdr:pic>
    </xdr:grp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35799485-5594-46AA-9AEB-BD5553FC0025}" name="tblTypes" displayName="tblTypes" ref="A1:F18" totalsRowShown="0">
  <autoFilter ref="A1:F18" xr:uid="{35799485-5594-46AA-9AEB-BD5553FC0025}"/>
  <tableColumns count="6">
    <tableColumn id="1" xr3:uid="{A2E9A478-3F6B-4452-A454-AF107CAF0F64}" name="ID"/>
    <tableColumn id="2" xr3:uid="{5206BD59-ACAF-4A9B-AE3D-335109C23F45}" name="Type"/>
    <tableColumn id="3" xr3:uid="{D78D5DAC-DDD3-477C-818F-6C1FB7907579}" name="ClassID"/>
    <tableColumn id="5" xr3:uid="{E25E80E8-2206-49CA-AF96-E068E2692804}" name="PL"/>
    <tableColumn id="4" xr3:uid="{3306DC73-2D03-4FB1-A8D8-C7409CFD6AE7}" name="XTB"/>
    <tableColumn id="6" xr3:uid="{48FDD4E6-F28F-4F71-92CF-A4B6B213ACA2}" name="XRE"/>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179C5EC7-8182-4637-8573-329C6C7C01C2}" name="tblArchived" displayName="tblArchived" ref="A1:E6" totalsRowShown="0">
  <autoFilter ref="A1:E6" xr:uid="{179C5EC7-8182-4637-8573-329C6C7C01C2}"/>
  <tableColumns count="5">
    <tableColumn id="1" xr3:uid="{98DD5B34-ADC2-4ECE-B7D9-BA9B1BF5829B}" name="Code"/>
    <tableColumn id="2" xr3:uid="{C48621AD-4EFE-4B0C-8A3D-732A174F09EE}" name="Name" dataDxfId="4">
      <calculatedColumnFormula array="1">_xldudf_SCOTT_DESC(OrgId,tblArchived[[#This Row],[Code]])</calculatedColumnFormula>
    </tableColumn>
    <tableColumn id="3" xr3:uid="{FCAAE2A9-9793-4B4C-B7D6-D9E6E9F78C55}" name="Type"/>
    <tableColumn id="4" xr3:uid="{4DB8F082-50B2-4D8E-A634-9597CB80A7DD}" name="XRE" dataDxfId="3">
      <calculatedColumnFormula>_xlfn.XLOOKUP(tblArchived[[#This Row],[Type]],tblTypes[ID],tblTypes[XRE],0)</calculatedColumnFormula>
    </tableColumn>
    <tableColumn id="5" xr3:uid="{15F97DF0-5685-402D-8043-96F66BF6F717}" name="XreAmount" dataDxfId="2">
      <calculatedColumnFormula array="1">IFERROR(_xldudf_SCOTT_GL(OrgId,tblArchived[[#This Row],[Code]],0,YearStart-1),0)*tblArchived[[#This Row],[XRE]]</calculatedColumnFormula>
    </tableColumn>
  </tableColumns>
  <tableStyleInfo name="TableStyleMedium4"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ebextensions/_rels/taskpanes.xml.rels><?xml version="1.0" encoding="UTF-8" standalone="yes"?>
<Relationships xmlns="http://schemas.openxmlformats.org/package/2006/relationships"><Relationship Id="rId2" Type="http://schemas.microsoft.com/office/2011/relationships/webextension" Target="webextension2.xml"/><Relationship Id="rId1" Type="http://schemas.microsoft.com/office/2011/relationships/webextension" Target="webextension1.xml"/></Relationships>
</file>

<file path=xl/webextensions/taskpanes.xml><?xml version="1.0" encoding="utf-8"?>
<wetp:taskpanes xmlns:wetp="http://schemas.microsoft.com/office/webextensions/taskpanes/2010/11">
  <wetp:taskpane dockstate="right" visibility="0" width="438" row="7">
    <wetp:webextensionref xmlns:r="http://schemas.openxmlformats.org/officeDocument/2006/relationships" r:id="rId1"/>
  </wetp:taskpane>
  <wetp:taskpane dockstate="right" visibility="0" width="0" row="0">
    <wetp:webextensionref xmlns:r="http://schemas.openxmlformats.org/officeDocument/2006/relationships" r:id="rId2"/>
  </wetp:taskpane>
</wetp:taskpanes>
</file>

<file path=xl/webextensions/webextension1.xml><?xml version="1.0" encoding="utf-8"?>
<we:webextension xmlns:we="http://schemas.microsoft.com/office/webextensions/webextension/2010/11" id="{9c1740b5-37d0-451a-9ccf-64e7e8414fac}">
  <we:reference id="WA200000095" version="1.1.1.0" store="en-001" storeType="OMEX"/>
  <we:alternateReferences/>
  <we:properties>
    <we:property name="Office.AutoShowTaskpaneWithDocument" value="true"/>
    <we:property name="scott.user_id" value="&quot;f8f78092-f095-4793-9c1d-69930b4e4ec5&quot;"/>
    <we:property name="scott.xuser_id" value="&quot;0b177b6e-cd3c-4614-a3b9-9a05da9fad5c&quot;"/>
  </we:properties>
  <we:bindings/>
  <we:snapshot xmlns:r="http://schemas.openxmlformats.org/officeDocument/2006/relationships"/>
  <we:extLst>
    <a:ext xmlns:a="http://schemas.openxmlformats.org/drawingml/2006/main" uri="{D87F86FE-615C-45B5-9D79-34F1136793EB}">
      <we:containsCustomFunctions val="1"/>
    </a:ext>
    <a:ext xmlns:a="http://schemas.openxmlformats.org/drawingml/2006/main" uri="{7C84B067-C214-45C3-A712-C9D94CD141B2}">
      <we:customFunctionIdList>
        <we:customFunctionIds>_xldudf_SCOTT_DESC</we:customFunctionIds>
        <we:customFunctionIds>_xldudf_SCOTT_GL</we:customFunctionIds>
        <we:customFunctionIds>_xldudf_SCOTT_COMRANGE</we:customFunctionIds>
        <we:customFunctionIds>_xldudf_SCOTT_CHART</we:customFunctionIds>
        <we:customFunctionIds>_xldudf_SCOTT_ACCTNAME</we:customFunctionIds>
        <we:customFunctionIds>_xldudf_SCOTT_SUMTRANSACTIONS</we:customFunctionIds>
        <we:customFunctionIds>_xldudf_SCOTT_RANGE</we:customFunctionIds>
        <we:customFunctionIds>_xldudf_SCOTT_TRACK</we:customFunctionIds>
        <we:customFunctionIds>_xldudf_SCOTT_TRACKR</we:customFunctionIds>
        <we:customFunctionIds>_xldudf_SCOTT_TRACKM</we:customFunctionIds>
        <we:customFunctionIds>_xldudf_SCOTT_XBUDGET</we:customFunctionIds>
        <we:customFunctionIds>_xldudf_SCOTT_XNI</we:customFunctionIds>
        <we:customFunctionIds>_xldudf_SCOTT_QCLASS</we:customFunctionIds>
        <we:customFunctionIds>_xldudf_SCOTT_QCLASSR</we:customFunctionIds>
        <we:customFunctionIds>_xldudf_SCOTT_QDEPT</we:customFunctionIds>
        <we:customFunctionIds>_xldudf_SCOTT_QDEPTR</we:customFunctionIds>
        <we:customFunctionIds>_xldudf_SCOTT_QCLASS_DEPT</we:customFunctionIds>
        <we:customFunctionIds>_xldudf_SCOTT_QCUSTOMER</we:customFunctionIds>
        <we:customFunctionIds>_xldudf_SCOTT_QBUDGET</we:customFunctionIds>
        <we:customFunctionIds>_xldudf_SCOTT_QBUDGETALL</we:customFunctionIds>
      </we:customFunctionIdList>
    </a:ext>
  </we:extLst>
</we:webextension>
</file>

<file path=xl/webextensions/webextension2.xml><?xml version="1.0" encoding="utf-8"?>
<we:webextension xmlns:we="http://schemas.microsoft.com/office/webextensions/webextension/2010/11" id="{65EC3AFD-3904-4FFD-9A39-A5CDDD7E9A64}">
  <we:reference id="wa200000095" version="1.1.1.0" store="en-US" storeType="OMEX"/>
  <we:alternateReferences>
    <we:reference id="WA200000095" version="1.1.1.0" store="" storeType="OMEX"/>
  </we:alternateReferences>
  <we:properties/>
  <we:bindings/>
  <we:snapshot xmlns:r="http://schemas.openxmlformats.org/officeDocument/2006/relationships"/>
</we:webextension>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table" Target="../tables/table1.xml"/></Relationships>
</file>

<file path=xl/worksheets/_rels/sheet5.xml.rels><?xml version="1.0" encoding="UTF-8" standalone="yes"?>
<Relationships xmlns="http://schemas.openxmlformats.org/package/2006/relationships"><Relationship Id="rId1" Type="http://schemas.openxmlformats.org/officeDocument/2006/relationships/table" Target="../tables/table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E9E452-172E-C743-8C29-3B7C4C394195}">
  <sheetPr codeName="Sheet1"/>
  <dimension ref="A1"/>
  <sheetViews>
    <sheetView zoomScale="80" zoomScaleNormal="80" workbookViewId="0"/>
  </sheetViews>
  <sheetFormatPr defaultColWidth="8.88671875" defaultRowHeight="14.4" x14ac:dyDescent="0.3"/>
  <sheetData/>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B093E0-7B1E-47CA-946D-98CA4296F14D}">
  <sheetPr codeName="Sheet2">
    <tabColor rgb="FFFF0000"/>
  </sheetPr>
  <dimension ref="A1:I37"/>
  <sheetViews>
    <sheetView showGridLines="0" tabSelected="1" topLeftCell="B1" zoomScale="110" zoomScaleNormal="110" workbookViewId="0">
      <selection activeCell="D7" sqref="D7"/>
    </sheetView>
  </sheetViews>
  <sheetFormatPr defaultColWidth="8.88671875" defaultRowHeight="14.4" x14ac:dyDescent="0.3"/>
  <cols>
    <col min="1" max="1" width="9.77734375" style="40" hidden="1" customWidth="1"/>
    <col min="2" max="2" width="3.77734375" style="40" customWidth="1"/>
    <col min="3" max="3" width="25.77734375" style="40" customWidth="1"/>
    <col min="4" max="4" width="13.77734375" style="40" customWidth="1"/>
    <col min="5" max="5" width="8.88671875" style="40"/>
    <col min="6" max="6" width="13.77734375" style="40" customWidth="1"/>
    <col min="7" max="7" width="8.88671875" style="40"/>
    <col min="8" max="9" width="8.88671875" style="40" customWidth="1"/>
    <col min="10" max="16384" width="8.88671875" style="40"/>
  </cols>
  <sheetData>
    <row r="1" spans="1:9" ht="18" x14ac:dyDescent="0.35">
      <c r="A1" s="39" t="s">
        <v>99</v>
      </c>
      <c r="C1" s="56" t="s">
        <v>23</v>
      </c>
    </row>
    <row r="2" spans="1:9" ht="15.6" x14ac:dyDescent="0.3">
      <c r="A2" s="40" t="s">
        <v>84</v>
      </c>
      <c r="C2" s="58" t="s">
        <v>16</v>
      </c>
    </row>
    <row r="3" spans="1:9" ht="16.2" thickBot="1" x14ac:dyDescent="0.35">
      <c r="A3" s="40" t="s">
        <v>85</v>
      </c>
      <c r="C3" s="58" t="s">
        <v>27</v>
      </c>
    </row>
    <row r="4" spans="1:9" ht="15.6" x14ac:dyDescent="0.3">
      <c r="A4" s="40" t="s">
        <v>86</v>
      </c>
      <c r="C4" s="41" t="s">
        <v>98</v>
      </c>
      <c r="D4" s="42"/>
      <c r="E4" s="42"/>
      <c r="F4" s="42"/>
      <c r="G4" s="42"/>
      <c r="H4" s="42"/>
      <c r="I4" s="43"/>
    </row>
    <row r="5" spans="1:9" ht="15.6" x14ac:dyDescent="0.3">
      <c r="A5" s="40" t="s">
        <v>87</v>
      </c>
      <c r="C5" s="44" t="s">
        <v>17</v>
      </c>
      <c r="D5" s="37">
        <v>112413</v>
      </c>
      <c r="E5" s="45"/>
      <c r="F5" s="45"/>
      <c r="G5" s="45"/>
      <c r="H5" s="45"/>
      <c r="I5" s="46"/>
    </row>
    <row r="6" spans="1:9" ht="15.6" x14ac:dyDescent="0.3">
      <c r="A6" s="40" t="s">
        <v>88</v>
      </c>
      <c r="C6" s="44" t="s">
        <v>56</v>
      </c>
      <c r="D6" s="38" t="s">
        <v>60</v>
      </c>
      <c r="E6" s="45" t="str" cm="1">
        <f t="array" ref="E6">"*"&amp;_xlfn.XLOOKUP(XreCode,INDEX(_xlfn.ANCHORARRAY('Trial Balance'!A8),0,1),INDEX(_xlfn.ANCHORARRAY('Trial Balance'!A8),0,2),"*Account not found**")</f>
        <v>*Retained Earnings</v>
      </c>
      <c r="F6" s="47"/>
      <c r="G6" s="45"/>
      <c r="H6" s="45"/>
      <c r="I6" s="46"/>
    </row>
    <row r="7" spans="1:9" ht="15.6" x14ac:dyDescent="0.3">
      <c r="A7" s="40" t="s">
        <v>89</v>
      </c>
      <c r="C7" s="44" t="s">
        <v>83</v>
      </c>
      <c r="D7" s="37" t="s">
        <v>95</v>
      </c>
      <c r="E7" s="47">
        <f>MATCH(D7,A2:A13,0)</f>
        <v>12</v>
      </c>
      <c r="F7" s="47">
        <f ca="1">F8+(E8&gt;E7)</f>
        <v>2022</v>
      </c>
      <c r="G7" s="45"/>
      <c r="H7" s="45"/>
      <c r="I7" s="46"/>
    </row>
    <row r="8" spans="1:9" ht="15.6" x14ac:dyDescent="0.3">
      <c r="A8" s="40" t="s">
        <v>90</v>
      </c>
      <c r="C8" s="48" t="s">
        <v>96</v>
      </c>
      <c r="D8" s="57">
        <f ca="1">TODAY()</f>
        <v>44924</v>
      </c>
      <c r="E8" s="47">
        <f ca="1">MONTH(D8)</f>
        <v>12</v>
      </c>
      <c r="F8" s="47">
        <f ca="1">YEAR(D8)</f>
        <v>2022</v>
      </c>
      <c r="G8" s="45"/>
      <c r="H8" s="45"/>
      <c r="I8" s="46"/>
    </row>
    <row r="9" spans="1:9" ht="16.2" thickBot="1" x14ac:dyDescent="0.35">
      <c r="A9" s="40" t="s">
        <v>91</v>
      </c>
      <c r="C9" s="49" t="s">
        <v>109</v>
      </c>
      <c r="D9" s="50">
        <f ca="1">DATE(F7-1,E7+1,1)</f>
        <v>44562</v>
      </c>
      <c r="E9" s="51" t="s">
        <v>97</v>
      </c>
      <c r="F9" s="52">
        <f ca="1">DATE(F7,E7+1,0)</f>
        <v>44926</v>
      </c>
      <c r="G9" s="53" t="b">
        <f ca="1">AND(D8&gt;=D9,D8&lt;=F9)</f>
        <v>1</v>
      </c>
      <c r="H9" s="54"/>
      <c r="I9" s="55"/>
    </row>
    <row r="10" spans="1:9" ht="15.6" x14ac:dyDescent="0.3">
      <c r="A10" s="40" t="s">
        <v>92</v>
      </c>
      <c r="B10" s="59"/>
      <c r="C10" s="58"/>
      <c r="D10" s="65"/>
      <c r="E10" s="65"/>
      <c r="F10" s="66"/>
      <c r="G10" s="65"/>
      <c r="H10" s="65"/>
      <c r="I10" s="65"/>
    </row>
    <row r="11" spans="1:9" ht="18" x14ac:dyDescent="0.35">
      <c r="A11" s="40" t="s">
        <v>93</v>
      </c>
      <c r="C11" s="56" t="s">
        <v>25</v>
      </c>
      <c r="D11" s="65"/>
      <c r="E11" s="65"/>
      <c r="F11" s="66"/>
      <c r="G11" s="65"/>
      <c r="H11" s="65"/>
      <c r="I11" s="65"/>
    </row>
    <row r="12" spans="1:9" ht="15.6" x14ac:dyDescent="0.3">
      <c r="A12" s="40" t="s">
        <v>94</v>
      </c>
      <c r="B12" s="58" t="s">
        <v>101</v>
      </c>
      <c r="C12" s="58" t="s">
        <v>26</v>
      </c>
      <c r="D12" s="65"/>
      <c r="E12" s="65"/>
      <c r="F12" s="66"/>
      <c r="G12" s="65"/>
      <c r="H12" s="65"/>
      <c r="I12" s="65"/>
    </row>
    <row r="13" spans="1:9" ht="15.6" x14ac:dyDescent="0.3">
      <c r="A13" s="40" t="s">
        <v>95</v>
      </c>
      <c r="B13" s="58" t="s">
        <v>102</v>
      </c>
      <c r="C13" s="58" t="s">
        <v>28</v>
      </c>
      <c r="D13" s="65"/>
      <c r="E13" s="65"/>
      <c r="F13" s="66"/>
      <c r="G13" s="65"/>
      <c r="H13" s="65"/>
      <c r="I13" s="65"/>
    </row>
    <row r="14" spans="1:9" ht="15.6" x14ac:dyDescent="0.3">
      <c r="B14" s="58" t="s">
        <v>103</v>
      </c>
      <c r="C14" s="58" t="s">
        <v>100</v>
      </c>
      <c r="D14" s="65"/>
      <c r="E14" s="65"/>
      <c r="F14" s="66"/>
      <c r="G14" s="65"/>
      <c r="H14" s="65"/>
      <c r="I14" s="65"/>
    </row>
    <row r="15" spans="1:9" ht="15.6" x14ac:dyDescent="0.3">
      <c r="B15" s="58" t="s">
        <v>105</v>
      </c>
      <c r="C15" s="58" t="s">
        <v>108</v>
      </c>
      <c r="D15" s="65"/>
      <c r="E15" s="65"/>
      <c r="F15" s="66"/>
      <c r="G15" s="65"/>
      <c r="H15" s="65"/>
      <c r="I15" s="65"/>
    </row>
    <row r="16" spans="1:9" ht="15.6" x14ac:dyDescent="0.3">
      <c r="B16" s="58" t="s">
        <v>106</v>
      </c>
      <c r="C16" s="58" t="s">
        <v>104</v>
      </c>
      <c r="D16" s="65"/>
      <c r="E16" s="65"/>
      <c r="F16" s="66"/>
      <c r="G16" s="65"/>
      <c r="H16" s="65"/>
      <c r="I16" s="65"/>
    </row>
    <row r="17" spans="2:9" ht="15.6" x14ac:dyDescent="0.3">
      <c r="B17" s="58" t="s">
        <v>107</v>
      </c>
      <c r="C17" s="58" t="s">
        <v>31</v>
      </c>
      <c r="D17" s="65"/>
      <c r="E17" s="65"/>
      <c r="F17" s="66"/>
      <c r="G17" s="65"/>
      <c r="H17" s="65"/>
      <c r="I17" s="65"/>
    </row>
    <row r="18" spans="2:9" ht="15.6" x14ac:dyDescent="0.3">
      <c r="B18" s="59"/>
      <c r="C18" s="58"/>
      <c r="D18" s="65"/>
      <c r="E18" s="65"/>
      <c r="F18" s="66"/>
      <c r="G18" s="65"/>
      <c r="H18" s="65"/>
      <c r="I18" s="65"/>
    </row>
    <row r="19" spans="2:9" ht="18" x14ac:dyDescent="0.35">
      <c r="C19" s="56" t="s">
        <v>29</v>
      </c>
      <c r="D19" s="65"/>
      <c r="E19" s="65"/>
      <c r="F19" s="66"/>
      <c r="G19" s="65"/>
      <c r="H19" s="65"/>
      <c r="I19" s="65"/>
    </row>
    <row r="20" spans="2:9" ht="15.6" x14ac:dyDescent="0.3">
      <c r="B20" s="58" t="s">
        <v>101</v>
      </c>
      <c r="C20" s="60" t="s">
        <v>22</v>
      </c>
      <c r="D20" s="65"/>
      <c r="E20" s="65"/>
      <c r="F20" s="66"/>
      <c r="G20" s="65"/>
      <c r="H20" s="65"/>
      <c r="I20" s="65"/>
    </row>
    <row r="21" spans="2:9" ht="15.6" x14ac:dyDescent="0.3">
      <c r="B21" s="58" t="s">
        <v>102</v>
      </c>
      <c r="C21" s="60" t="s">
        <v>110</v>
      </c>
      <c r="D21" s="65"/>
      <c r="E21" s="65"/>
      <c r="F21" s="66"/>
      <c r="G21" s="65"/>
      <c r="H21" s="65"/>
      <c r="I21" s="65"/>
    </row>
    <row r="22" spans="2:9" ht="15.6" x14ac:dyDescent="0.3">
      <c r="B22" s="58"/>
      <c r="C22" s="61" t="s">
        <v>111</v>
      </c>
      <c r="D22" s="65"/>
      <c r="E22" s="65"/>
      <c r="F22" s="66"/>
      <c r="G22" s="65"/>
      <c r="H22" s="65"/>
      <c r="I22" s="65"/>
    </row>
    <row r="23" spans="2:9" ht="15.6" x14ac:dyDescent="0.3">
      <c r="B23" s="58" t="s">
        <v>103</v>
      </c>
      <c r="C23" s="60" t="s">
        <v>112</v>
      </c>
      <c r="D23" s="65"/>
      <c r="E23" s="65"/>
      <c r="F23" s="65"/>
      <c r="G23" s="65"/>
      <c r="H23" s="65"/>
      <c r="I23" s="65"/>
    </row>
    <row r="24" spans="2:9" ht="15.6" x14ac:dyDescent="0.3">
      <c r="B24" s="58"/>
      <c r="C24" s="61" t="s">
        <v>113</v>
      </c>
      <c r="D24" s="65"/>
      <c r="E24" s="65"/>
      <c r="F24" s="65"/>
      <c r="G24" s="65"/>
      <c r="H24" s="65"/>
      <c r="I24" s="65"/>
    </row>
    <row r="25" spans="2:9" ht="15.6" x14ac:dyDescent="0.3">
      <c r="B25" s="58" t="s">
        <v>105</v>
      </c>
      <c r="C25" s="62" t="s">
        <v>114</v>
      </c>
      <c r="D25" s="65"/>
      <c r="E25" s="65"/>
      <c r="F25" s="65"/>
      <c r="G25" s="65"/>
      <c r="H25" s="65"/>
      <c r="I25" s="65"/>
    </row>
    <row r="26" spans="2:9" ht="15.6" x14ac:dyDescent="0.3">
      <c r="B26" s="58"/>
      <c r="C26" s="63" t="s">
        <v>126</v>
      </c>
      <c r="D26" s="65"/>
      <c r="E26" s="65"/>
      <c r="F26" s="65"/>
      <c r="G26" s="65"/>
      <c r="H26" s="65"/>
      <c r="I26" s="65"/>
    </row>
    <row r="27" spans="2:9" ht="15.6" x14ac:dyDescent="0.3">
      <c r="B27" s="58" t="s">
        <v>106</v>
      </c>
      <c r="C27" s="64" t="s">
        <v>115</v>
      </c>
      <c r="D27" s="65"/>
      <c r="E27" s="65"/>
      <c r="F27" s="65"/>
      <c r="G27" s="65"/>
      <c r="H27" s="65"/>
      <c r="I27" s="65"/>
    </row>
    <row r="28" spans="2:9" ht="15.6" x14ac:dyDescent="0.3">
      <c r="B28" s="58"/>
      <c r="C28" s="61" t="s">
        <v>116</v>
      </c>
      <c r="D28" s="65"/>
      <c r="E28" s="65"/>
      <c r="F28" s="65"/>
      <c r="G28" s="65"/>
      <c r="H28" s="65"/>
      <c r="I28" s="65"/>
    </row>
    <row r="29" spans="2:9" ht="15.6" x14ac:dyDescent="0.3">
      <c r="B29" s="58"/>
      <c r="C29" s="61" t="s">
        <v>127</v>
      </c>
      <c r="D29" s="65"/>
      <c r="E29" s="65"/>
      <c r="F29" s="65"/>
      <c r="G29" s="65"/>
      <c r="H29" s="65"/>
      <c r="I29" s="65"/>
    </row>
    <row r="30" spans="2:9" ht="15.6" x14ac:dyDescent="0.3">
      <c r="B30" s="58" t="s">
        <v>107</v>
      </c>
      <c r="C30" s="64" t="s">
        <v>117</v>
      </c>
      <c r="D30" s="65"/>
      <c r="E30" s="65"/>
      <c r="F30" s="65"/>
      <c r="G30" s="65"/>
      <c r="H30" s="65"/>
      <c r="I30" s="65"/>
    </row>
    <row r="31" spans="2:9" ht="15.6" x14ac:dyDescent="0.3">
      <c r="B31" s="58" t="s">
        <v>118</v>
      </c>
      <c r="C31" s="60" t="s">
        <v>119</v>
      </c>
      <c r="D31" s="65"/>
      <c r="E31" s="65"/>
      <c r="F31" s="65"/>
      <c r="G31" s="65"/>
      <c r="H31" s="65"/>
      <c r="I31" s="65"/>
    </row>
    <row r="32" spans="2:9" ht="15.6" x14ac:dyDescent="0.3">
      <c r="B32" s="58"/>
      <c r="C32" s="61" t="s">
        <v>128</v>
      </c>
      <c r="D32" s="65"/>
      <c r="E32" s="65"/>
      <c r="F32" s="65"/>
      <c r="G32" s="65"/>
      <c r="H32" s="65"/>
      <c r="I32" s="65"/>
    </row>
    <row r="33" spans="2:9" ht="15.6" x14ac:dyDescent="0.3">
      <c r="B33" s="58" t="s">
        <v>120</v>
      </c>
      <c r="C33" s="64" t="s">
        <v>30</v>
      </c>
      <c r="D33" s="65"/>
      <c r="E33" s="65"/>
      <c r="F33" s="65"/>
      <c r="G33" s="65"/>
      <c r="H33" s="65"/>
      <c r="I33" s="65"/>
    </row>
    <row r="34" spans="2:9" ht="15.6" x14ac:dyDescent="0.3">
      <c r="B34" s="58" t="s">
        <v>121</v>
      </c>
      <c r="C34" s="64" t="s">
        <v>122</v>
      </c>
      <c r="D34" s="65"/>
      <c r="E34" s="65"/>
      <c r="F34" s="65"/>
      <c r="G34" s="65"/>
      <c r="H34" s="65"/>
      <c r="I34" s="65"/>
    </row>
    <row r="35" spans="2:9" ht="15.6" x14ac:dyDescent="0.3">
      <c r="B35" s="58"/>
      <c r="C35" s="61" t="s">
        <v>123</v>
      </c>
      <c r="D35" s="65"/>
      <c r="E35" s="65"/>
      <c r="F35" s="65"/>
      <c r="G35" s="65"/>
      <c r="H35" s="65"/>
      <c r="I35" s="65"/>
    </row>
    <row r="36" spans="2:9" ht="15.6" x14ac:dyDescent="0.3">
      <c r="B36" s="58" t="s">
        <v>124</v>
      </c>
      <c r="C36" s="64" t="s">
        <v>125</v>
      </c>
      <c r="D36" s="65"/>
      <c r="E36" s="65"/>
      <c r="F36" s="65"/>
      <c r="G36" s="65"/>
      <c r="H36" s="65"/>
      <c r="I36" s="65"/>
    </row>
    <row r="37" spans="2:9" ht="15.6" x14ac:dyDescent="0.3">
      <c r="B37" s="58"/>
      <c r="C37" s="61" t="s">
        <v>129</v>
      </c>
      <c r="D37" s="65"/>
      <c r="E37" s="65"/>
      <c r="F37" s="65"/>
      <c r="G37" s="65"/>
      <c r="H37" s="65"/>
      <c r="I37" s="65"/>
    </row>
  </sheetData>
  <sheetProtection sheet="1" objects="1" scenarios="1"/>
  <conditionalFormatting sqref="G9">
    <cfRule type="expression" dxfId="1" priority="1">
      <formula>$G$9=FALSE</formula>
    </cfRule>
  </conditionalFormatting>
  <dataValidations count="2">
    <dataValidation type="list" showInputMessage="1" showErrorMessage="1" errorTitle="Invalid Entry" error="Please select an option from the pick-list provided." sqref="D7" xr:uid="{18455E15-1A32-40B8-9348-C57CAC0E87E0}">
      <formula1>$A$2:$A$13</formula1>
    </dataValidation>
    <dataValidation type="date" operator="greaterThanOrEqual" showInputMessage="1" showErrorMessage="1" errorTitle="Invalid Entry" error="Please enter dates in a recognizable date format (ie: mm/dd/yyyy or dd/mm/yyyy depending on your system settings)." sqref="D8" xr:uid="{2A82091E-17E1-4F32-A0BC-FE200DE921DD}">
      <formula1>367</formula1>
    </dataValidation>
  </dataValidation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9AD354-2268-43B6-8536-B8D9028C375A}">
  <sheetPr codeName="Sheet3">
    <tabColor rgb="FF92D050"/>
  </sheetPr>
  <dimension ref="A1:AA200"/>
  <sheetViews>
    <sheetView zoomScale="110" zoomScaleNormal="110" workbookViewId="0">
      <selection activeCell="A4" sqref="A4"/>
    </sheetView>
  </sheetViews>
  <sheetFormatPr defaultColWidth="8.88671875" defaultRowHeight="14.4" x14ac:dyDescent="0.3"/>
  <cols>
    <col min="1" max="1" width="8.88671875" customWidth="1"/>
    <col min="2" max="2" width="28.77734375" customWidth="1"/>
    <col min="3" max="3" width="13.77734375" customWidth="1"/>
    <col min="4" max="6" width="8.77734375" customWidth="1"/>
    <col min="7" max="7" width="16.77734375" customWidth="1"/>
    <col min="8" max="11" width="14.77734375" customWidth="1"/>
    <col min="12" max="12" width="9" bestFit="1" customWidth="1"/>
    <col min="14" max="14" width="8.88671875" customWidth="1"/>
    <col min="16" max="16" width="11.77734375" customWidth="1"/>
    <col min="18" max="18" width="12.77734375" customWidth="1"/>
    <col min="22" max="22" width="12.77734375" customWidth="1"/>
    <col min="25" max="25" width="11.77734375" customWidth="1"/>
    <col min="27" max="27" width="12.77734375" customWidth="1"/>
  </cols>
  <sheetData>
    <row r="1" spans="1:27" ht="24.6" x14ac:dyDescent="0.3">
      <c r="A1" s="19" t="s">
        <v>0</v>
      </c>
      <c r="B1" s="32"/>
      <c r="C1" s="32"/>
      <c r="D1" s="32"/>
      <c r="E1" s="32"/>
      <c r="F1" s="32"/>
      <c r="G1" s="32"/>
      <c r="H1" s="32"/>
      <c r="I1" s="32"/>
      <c r="J1" s="32"/>
      <c r="K1" s="32"/>
      <c r="O1" s="33" t="s">
        <v>70</v>
      </c>
      <c r="U1" s="16" t="s">
        <v>65</v>
      </c>
      <c r="V1" s="15">
        <f ca="1">SUM(R8:R200)</f>
        <v>450487.15</v>
      </c>
      <c r="X1" s="33" t="s">
        <v>71</v>
      </c>
    </row>
    <row r="2" spans="1:27" ht="21" x14ac:dyDescent="0.3">
      <c r="A2" s="31" t="s">
        <v>24</v>
      </c>
      <c r="B2" s="22"/>
      <c r="C2" s="22"/>
      <c r="D2" s="22"/>
      <c r="E2" s="22"/>
      <c r="F2" s="22"/>
      <c r="G2" s="22"/>
      <c r="H2" s="22"/>
      <c r="I2" s="22"/>
      <c r="J2" s="22" t="s">
        <v>78</v>
      </c>
      <c r="K2" s="23">
        <v>-7534.01</v>
      </c>
      <c r="O2" s="20" t="s">
        <v>61</v>
      </c>
      <c r="P2" s="1">
        <v>0</v>
      </c>
      <c r="Q2" t="s">
        <v>68</v>
      </c>
      <c r="U2" s="16" t="s">
        <v>66</v>
      </c>
      <c r="V2" s="15">
        <f ca="1">SUM(V8:V200)</f>
        <v>469039.29999999993</v>
      </c>
      <c r="X2" s="20" t="s">
        <v>61</v>
      </c>
      <c r="Y2" s="1">
        <v>0</v>
      </c>
      <c r="Z2" t="s">
        <v>68</v>
      </c>
    </row>
    <row r="3" spans="1:27" ht="15.6" x14ac:dyDescent="0.3">
      <c r="A3" s="21" t="str">
        <f ca="1">"As at: "&amp;TEXT(PeriodEnd,"mmmm d, yyyy")</f>
        <v>As at: December 29, 2022</v>
      </c>
      <c r="B3" s="24"/>
      <c r="C3" s="24"/>
      <c r="D3" s="24"/>
      <c r="E3" s="24"/>
      <c r="F3" s="24"/>
      <c r="G3" s="24"/>
      <c r="H3" s="24"/>
      <c r="I3" s="24"/>
      <c r="J3" s="22" t="s">
        <v>79</v>
      </c>
      <c r="K3" s="23">
        <f ca="1">AA11</f>
        <v>-7534.0099999999056</v>
      </c>
      <c r="L3" s="3">
        <f ca="1">K2-K3</f>
        <v>-9.4587448984384537E-11</v>
      </c>
      <c r="O3" s="20" t="s">
        <v>62</v>
      </c>
      <c r="P3" s="1">
        <f ca="1">YearStart-1</f>
        <v>44561</v>
      </c>
      <c r="Q3" t="s">
        <v>69</v>
      </c>
      <c r="U3" s="16" t="s">
        <v>77</v>
      </c>
      <c r="V3" s="17">
        <f ca="1">SUM(tblArchived[XreAmount])</f>
        <v>-2352.46</v>
      </c>
      <c r="X3" s="20" t="s">
        <v>62</v>
      </c>
      <c r="Y3" s="1">
        <f ca="1">PeriodEnd</f>
        <v>44924</v>
      </c>
      <c r="Z3" t="s">
        <v>72</v>
      </c>
    </row>
    <row r="4" spans="1:27" ht="15" thickBot="1" x14ac:dyDescent="0.35">
      <c r="A4" s="2"/>
      <c r="B4" s="25"/>
      <c r="C4" s="2"/>
      <c r="D4" s="2"/>
      <c r="E4" s="2"/>
      <c r="F4" s="2"/>
      <c r="G4" s="2"/>
      <c r="H4" s="2"/>
      <c r="I4" s="2"/>
      <c r="J4" s="2"/>
      <c r="K4" s="2"/>
      <c r="U4" s="16" t="s">
        <v>67</v>
      </c>
      <c r="V4" s="15">
        <f ca="1">V1-V2+V3</f>
        <v>-20904.609999999906</v>
      </c>
    </row>
    <row r="5" spans="1:27" ht="15" thickBot="1" x14ac:dyDescent="0.35">
      <c r="A5" s="2"/>
      <c r="B5" s="26" t="s">
        <v>82</v>
      </c>
      <c r="C5" s="26"/>
      <c r="D5" s="26"/>
      <c r="E5" s="26"/>
      <c r="F5" s="26"/>
      <c r="G5" s="27">
        <f ca="1">_xlfn.AGGREGATE(9,2,G8:G1048576)+SUM(tblArchived[XreAmount])</f>
        <v>-20904.609999999928</v>
      </c>
      <c r="H5" s="28"/>
      <c r="I5" s="29">
        <f ca="1">_xlfn.AGGREGATE(9,2,I8:I1048576)</f>
        <v>381984.29999999987</v>
      </c>
      <c r="J5" s="29">
        <f ca="1">_xlfn.AGGREGATE(9,2,J8:J1048576)</f>
        <v>381984.29999999993</v>
      </c>
      <c r="K5" s="30">
        <f ca="1">ROUND(I5-J5,2)</f>
        <v>0</v>
      </c>
    </row>
    <row r="6" spans="1:27" x14ac:dyDescent="0.3">
      <c r="G6" s="7" t="s">
        <v>59</v>
      </c>
      <c r="O6" s="8" t="s">
        <v>13</v>
      </c>
      <c r="P6" s="5"/>
      <c r="Q6" s="5"/>
      <c r="R6" s="6"/>
      <c r="S6" s="8" t="s">
        <v>64</v>
      </c>
      <c r="T6" s="5"/>
      <c r="U6" s="5"/>
      <c r="V6" s="6"/>
      <c r="X6" s="8" t="s">
        <v>73</v>
      </c>
      <c r="Y6" s="5"/>
      <c r="Z6" s="5"/>
      <c r="AA6" s="6"/>
    </row>
    <row r="7" spans="1:27" x14ac:dyDescent="0.3">
      <c r="A7" s="9" t="s">
        <v>53</v>
      </c>
      <c r="B7" s="9" t="s">
        <v>54</v>
      </c>
      <c r="C7" s="9" t="s">
        <v>33</v>
      </c>
      <c r="D7" s="10" t="s">
        <v>15</v>
      </c>
      <c r="E7" s="10" t="s">
        <v>80</v>
      </c>
      <c r="F7" s="10" t="s">
        <v>55</v>
      </c>
      <c r="G7" s="10" t="s">
        <v>57</v>
      </c>
      <c r="H7" s="10" t="s">
        <v>58</v>
      </c>
      <c r="I7" s="10" t="s">
        <v>2</v>
      </c>
      <c r="J7" s="10" t="s">
        <v>1</v>
      </c>
      <c r="K7" s="11" t="s">
        <v>81</v>
      </c>
      <c r="N7" s="12" t="s">
        <v>34</v>
      </c>
      <c r="O7" s="13" t="s">
        <v>53</v>
      </c>
      <c r="P7" s="13" t="s">
        <v>54</v>
      </c>
      <c r="Q7" s="13" t="s">
        <v>33</v>
      </c>
      <c r="R7" s="36" t="s">
        <v>63</v>
      </c>
      <c r="S7" s="13" t="s">
        <v>53</v>
      </c>
      <c r="T7" s="13" t="s">
        <v>54</v>
      </c>
      <c r="U7" s="13" t="s">
        <v>33</v>
      </c>
      <c r="V7" s="36" t="s">
        <v>63</v>
      </c>
      <c r="X7" s="13" t="s">
        <v>53</v>
      </c>
      <c r="Y7" s="13" t="s">
        <v>54</v>
      </c>
      <c r="Z7" s="13" t="s">
        <v>33</v>
      </c>
      <c r="AA7" s="36" t="s">
        <v>63</v>
      </c>
    </row>
    <row r="8" spans="1:27" x14ac:dyDescent="0.3">
      <c r="A8" t="str" cm="1">
        <f t="array" ref="A8:C86">IFERROR(_xldudf_SCOTT_CHART(OrgId),_xlfn.TEXTSPLIT("1000,Please,BANK;2000,Connect,LIABILITY;3000,Your,EQUITY;4000,Company,REVENUE;5000,Data,EXPENSE",",",";"))</f>
        <v>500</v>
      </c>
      <c r="B8" t="str">
        <v>Other Expenses</v>
      </c>
      <c r="C8" t="str">
        <v>EXPENSE</v>
      </c>
      <c r="D8" t="b" cm="1">
        <f t="array" ref="D8:D86">_xlfn.XLOOKUP(INDEX(_xlfn.ANCHORARRAY(A8),0,3),tblTypes[ID],tblTypes[PL],FALSE)</f>
        <v>1</v>
      </c>
      <c r="E8" cm="1">
        <f t="array" ref="E8:E86">_xlfn.XLOOKUP(INDEX(_xlfn.ANCHORARRAY(A8),0,3),tblTypes[ID],tblTypes[XTB],0)</f>
        <v>1</v>
      </c>
      <c r="F8" cm="1">
        <f t="array" ref="F8:F86">_xlfn.XLOOKUP(INDEX(_xlfn.ANCHORARRAY(A8),0,3),tblTypes[ID],tblTypes[XRE],0)</f>
        <v>-1</v>
      </c>
      <c r="G8" s="14" cm="1">
        <f t="array" aca="1" ref="G8" ca="1">IFERROR(IF(D8,_xldudf_SCOTT_GL(OrgId,A8,0,YearStart-1),0)*F8,0)</f>
        <v>-3486.44</v>
      </c>
      <c r="H8" s="14">
        <f ca="1">IFERROR(SUM(IF(D8,_xldudf_SCOTT_GL(OrgId,A8,YearStart,PeriodEnd),_xldudf_SCOTT_GL(OrgId,A8,0,PeriodEnd)),IF(A8=XreCode,$G$5,0)),0)</f>
        <v>1315.09</v>
      </c>
      <c r="I8" s="4">
        <f ca="1">IF(K8&gt;0,K8,0)</f>
        <v>1315.09</v>
      </c>
      <c r="J8" s="4">
        <f ca="1">IF(K8&lt;0,-K8,0)</f>
        <v>0</v>
      </c>
      <c r="K8" s="4">
        <f ca="1">E8*H8</f>
        <v>1315.09</v>
      </c>
      <c r="N8" cm="1">
        <f t="array" ref="N8:N86">_xlfn.XLOOKUP(INDEX(_xlfn.ANCHORARRAY(A8),0,3),tblTypes[ID],tblTypes[ClassID],0)</f>
        <v>5</v>
      </c>
      <c r="O8" t="str" cm="1">
        <f t="array" ref="O8:Q27">_xlfn._xlws.FILTER(_xlfn.ANCHORARRAY(A8),_xlfn.ANCHORARRAY(N8)=4)</f>
        <v>4000</v>
      </c>
      <c r="P8" t="str">
        <v>Membership Dues (Unspecified)</v>
      </c>
      <c r="Q8" t="str">
        <v>REVENUE</v>
      </c>
      <c r="R8" s="3" cm="1">
        <f t="array" aca="1" ref="R8" ca="1">IFERROR(_xldudf_SCOTT_GL(OrgId,O8,$P$2,$P$3),0)</f>
        <v>383663.32</v>
      </c>
      <c r="S8" t="str" cm="1">
        <f t="array" ref="S8:U35">_xlfn._xlws.FILTER(_xlfn.ANCHORARRAY(A8),_xlfn.ANCHORARRAY(N8)=5)</f>
        <v>500</v>
      </c>
      <c r="T8" t="str">
        <v>Other Expenses</v>
      </c>
      <c r="U8" t="str">
        <v>EXPENSE</v>
      </c>
      <c r="V8" s="3" cm="1">
        <f t="array" aca="1" ref="V8" ca="1">IFERROR(_xldudf_SCOTT_GL(OrgId,S8,$P$2,$P$3),0)</f>
        <v>3486.44</v>
      </c>
      <c r="X8" t="str">
        <f>XreCode</f>
        <v>3900</v>
      </c>
      <c r="Y8" t="str" cm="1">
        <f t="array" ref="Y8">_xlfn.XLOOKUP(X8,INDEX(_xlfn.ANCHORARRAY(A8),0,1),INDEX(_xlfn.ANCHORARRAY(A8),0,2),"NOT FOUND")</f>
        <v>Retained Earnings</v>
      </c>
      <c r="Z8" t="str" cm="1">
        <f t="array" ref="Z8">_xlfn.XLOOKUP(X8,INDEX(_xlfn.ANCHORARRAY(A8),0,1),INDEX(_xlfn.ANCHORARRAY(A8),0,3),"NOT FOUND")</f>
        <v>EQUITY</v>
      </c>
      <c r="AA8" s="15" cm="1">
        <f t="array" aca="1" ref="AA8" ca="1">_xldudf_SCOTT_GL(OrgId,X8,$Y$2,$Y$3)</f>
        <v>13370.6</v>
      </c>
    </row>
    <row r="9" spans="1:27" x14ac:dyDescent="0.3">
      <c r="A9" t="str">
        <v>1000</v>
      </c>
      <c r="B9" t="str">
        <v>Fifth Third Bank - Checking</v>
      </c>
      <c r="C9" t="str">
        <v>BANK</v>
      </c>
      <c r="D9" t="b">
        <v>0</v>
      </c>
      <c r="E9">
        <v>1</v>
      </c>
      <c r="F9">
        <v>0</v>
      </c>
      <c r="G9" s="14" cm="1">
        <f t="array" ref="G9">IFERROR(IF(D9,_xldudf_SCOTT_GL(OrgId,A9,0,YearStart-1),0)*F9,0)</f>
        <v>0</v>
      </c>
      <c r="H9" s="14">
        <f ca="1">IFERROR(SUM(IF(D9,_xldudf_SCOTT_GL(OrgId,A9,YearStart,PeriodEnd),_xldudf_SCOTT_GL(OrgId,A9,0,PeriodEnd)),IF(A9=XreCode,$G$5,0)),0)</f>
        <v>15132.66</v>
      </c>
      <c r="I9" s="34">
        <f t="shared" ref="I9:I72" ca="1" si="0">IF(K9&gt;0,K9,0)</f>
        <v>15132.66</v>
      </c>
      <c r="J9" s="34">
        <f t="shared" ref="J9:J72" ca="1" si="1">IF(K9&lt;0,-K9,0)</f>
        <v>0</v>
      </c>
      <c r="K9" s="34">
        <f t="shared" ref="K9:K72" ca="1" si="2">E9*H9</f>
        <v>15132.66</v>
      </c>
      <c r="N9">
        <v>1</v>
      </c>
      <c r="O9" t="str">
        <v>4001</v>
      </c>
      <c r="P9" t="str">
        <v>Membership Dues, Introductory</v>
      </c>
      <c r="Q9" t="str">
        <v>REVENUE</v>
      </c>
      <c r="R9" s="3" cm="1">
        <f t="array" aca="1" ref="R9" ca="1">IFERROR(_xldudf_SCOTT_GL(OrgId,O9,$P$2,$P$3),0)</f>
        <v>0</v>
      </c>
      <c r="S9" t="str">
        <v>2998</v>
      </c>
      <c r="T9" t="str">
        <v>Rounding</v>
      </c>
      <c r="U9" t="str">
        <v>EXPENSE</v>
      </c>
      <c r="V9" s="3" cm="1">
        <f t="array" aca="1" ref="V9" ca="1">IFERROR(_xldudf_SCOTT_GL(OrgId,S9,$P$2,$P$3),0)</f>
        <v>-471.21</v>
      </c>
      <c r="AA9" s="3"/>
    </row>
    <row r="10" spans="1:27" x14ac:dyDescent="0.3">
      <c r="A10" t="str">
        <v>1001</v>
      </c>
      <c r="B10" t="str">
        <v>Fifth Third Bank - Savings</v>
      </c>
      <c r="C10" t="str">
        <v>BANK</v>
      </c>
      <c r="D10" t="b">
        <v>0</v>
      </c>
      <c r="E10">
        <v>1</v>
      </c>
      <c r="F10">
        <v>0</v>
      </c>
      <c r="G10" s="14" cm="1">
        <f t="array" ref="G10">IFERROR(IF(D10,_xldudf_SCOTT_GL(OrgId,A10,0,YearStart-1),0)*F10,0)</f>
        <v>0</v>
      </c>
      <c r="H10" s="14">
        <f ca="1">IFERROR(SUM(IF(D10,_xldudf_SCOTT_GL(OrgId,A10,YearStart,PeriodEnd),_xldudf_SCOTT_GL(OrgId,A10,0,PeriodEnd)),IF(A10=XreCode,$G$5,0)),0)</f>
        <v>250.01</v>
      </c>
      <c r="I10" s="34">
        <f t="shared" ca="1" si="0"/>
        <v>250.01</v>
      </c>
      <c r="J10" s="34">
        <f t="shared" ca="1" si="1"/>
        <v>0</v>
      </c>
      <c r="K10" s="34">
        <f t="shared" ca="1" si="2"/>
        <v>250.01</v>
      </c>
      <c r="N10">
        <v>1</v>
      </c>
      <c r="O10" t="str">
        <v>4002</v>
      </c>
      <c r="P10" t="str">
        <v>Membership Dues, Junior Age &lt; 19</v>
      </c>
      <c r="Q10" t="str">
        <v>REVENUE</v>
      </c>
      <c r="R10" s="3" cm="1">
        <f t="array" aca="1" ref="R10" ca="1">IFERROR(_xldudf_SCOTT_GL(OrgId,O10,$P$2,$P$3),0)</f>
        <v>0</v>
      </c>
      <c r="S10" t="str">
        <v>5100</v>
      </c>
      <c r="T10" t="str">
        <v>Cost of Goods Sold</v>
      </c>
      <c r="U10" t="str">
        <v>DIRECTCOSTS</v>
      </c>
      <c r="V10" s="3" cm="1">
        <f t="array" aca="1" ref="V10" ca="1">IFERROR(_xldudf_SCOTT_GL(OrgId,S10,$P$2,$P$3),0)</f>
        <v>822.38</v>
      </c>
      <c r="Z10" s="16" t="s">
        <v>74</v>
      </c>
      <c r="AA10" s="15">
        <f ca="1">V4</f>
        <v>-20904.609999999906</v>
      </c>
    </row>
    <row r="11" spans="1:27" x14ac:dyDescent="0.3">
      <c r="A11" t="str">
        <v>1050</v>
      </c>
      <c r="B11" t="str">
        <v>Petty Cash</v>
      </c>
      <c r="C11" t="str">
        <v>CURRENT</v>
      </c>
      <c r="D11" t="b">
        <v>0</v>
      </c>
      <c r="E11">
        <v>1</v>
      </c>
      <c r="F11">
        <v>0</v>
      </c>
      <c r="G11" s="14" cm="1">
        <f t="array" ref="G11">IFERROR(IF(D11,_xldudf_SCOTT_GL(OrgId,A11,0,YearStart-1),0)*F11,0)</f>
        <v>0</v>
      </c>
      <c r="H11" s="14">
        <f ca="1">IFERROR(SUM(IF(D11,_xldudf_SCOTT_GL(OrgId,A11,YearStart,PeriodEnd),_xldudf_SCOTT_GL(OrgId,A11,0,PeriodEnd)),IF(A11=XreCode,$G$5,0)),0)</f>
        <v>0</v>
      </c>
      <c r="I11" s="34">
        <f t="shared" ca="1" si="0"/>
        <v>0</v>
      </c>
      <c r="J11" s="34">
        <f t="shared" ca="1" si="1"/>
        <v>0</v>
      </c>
      <c r="K11" s="34">
        <f t="shared" ca="1" si="2"/>
        <v>0</v>
      </c>
      <c r="N11">
        <v>1</v>
      </c>
      <c r="O11" t="str">
        <v>4003</v>
      </c>
      <c r="P11" t="str">
        <v>Membership Dues, Age 19-29</v>
      </c>
      <c r="Q11" t="str">
        <v>REVENUE</v>
      </c>
      <c r="R11" s="3" cm="1">
        <f t="array" aca="1" ref="R11" ca="1">IFERROR(_xldudf_SCOTT_GL(OrgId,O11,$P$2,$P$3),0)</f>
        <v>0</v>
      </c>
      <c r="S11" t="str">
        <v>5200</v>
      </c>
      <c r="T11" t="str">
        <v>Salaries &amp; Wages</v>
      </c>
      <c r="U11" t="str">
        <v>EXPENSE</v>
      </c>
      <c r="V11" s="3" cm="1">
        <f t="array" aca="1" ref="V11" ca="1">IFERROR(_xldudf_SCOTT_GL(OrgId,S11,$P$2,$P$3),0)</f>
        <v>153191.22</v>
      </c>
      <c r="Z11" s="16" t="s">
        <v>75</v>
      </c>
      <c r="AA11" s="15">
        <f ca="1">AA8+AA10</f>
        <v>-7534.0099999999056</v>
      </c>
    </row>
    <row r="12" spans="1:27" x14ac:dyDescent="0.3">
      <c r="A12" t="str">
        <v>1100</v>
      </c>
      <c r="B12" t="str">
        <v>Accounts Receivable</v>
      </c>
      <c r="C12" t="str">
        <v>CURRENT</v>
      </c>
      <c r="D12" t="b">
        <v>0</v>
      </c>
      <c r="E12">
        <v>1</v>
      </c>
      <c r="F12">
        <v>0</v>
      </c>
      <c r="G12" s="14" cm="1">
        <f t="array" ref="G12">IFERROR(IF(D12,_xldudf_SCOTT_GL(OrgId,A12,0,YearStart-1),0)*F12,0)</f>
        <v>0</v>
      </c>
      <c r="H12" s="14">
        <f ca="1">IFERROR(SUM(IF(D12,_xldudf_SCOTT_GL(OrgId,A12,YearStart,PeriodEnd),_xldudf_SCOTT_GL(OrgId,A12,0,PeriodEnd)),IF(A12=XreCode,$G$5,0)),0)</f>
        <v>-1.05</v>
      </c>
      <c r="I12" s="34">
        <f t="shared" ca="1" si="0"/>
        <v>0</v>
      </c>
      <c r="J12" s="34">
        <f t="shared" ca="1" si="1"/>
        <v>1.05</v>
      </c>
      <c r="K12" s="34">
        <f t="shared" ca="1" si="2"/>
        <v>-1.05</v>
      </c>
      <c r="N12">
        <v>1</v>
      </c>
      <c r="O12" t="str">
        <v>4004</v>
      </c>
      <c r="P12" t="str">
        <v>Membership Dues, Age 30-39</v>
      </c>
      <c r="Q12" t="str">
        <v>REVENUE</v>
      </c>
      <c r="R12" s="3" cm="1">
        <f t="array" aca="1" ref="R12" ca="1">IFERROR(_xldudf_SCOTT_GL(OrgId,O12,$P$2,$P$3),0)</f>
        <v>0</v>
      </c>
      <c r="S12" t="str">
        <v>5201</v>
      </c>
      <c r="T12" t="str">
        <v>Labor + some payroll taxes</v>
      </c>
      <c r="U12" t="str">
        <v>EXPENSE</v>
      </c>
      <c r="V12" s="3" cm="1">
        <f t="array" aca="1" ref="V12" ca="1">IFERROR(_xldudf_SCOTT_GL(OrgId,S12,$P$2,$P$3),0)</f>
        <v>11629.3</v>
      </c>
    </row>
    <row r="13" spans="1:27" x14ac:dyDescent="0.3">
      <c r="A13" t="str">
        <v>1101</v>
      </c>
      <c r="B13" t="str">
        <v>Guest Fees Receivable</v>
      </c>
      <c r="C13" t="str">
        <v>CURRENT</v>
      </c>
      <c r="D13" t="b">
        <v>0</v>
      </c>
      <c r="E13">
        <v>1</v>
      </c>
      <c r="F13">
        <v>0</v>
      </c>
      <c r="G13" s="14" cm="1">
        <f t="array" ref="G13">IFERROR(IF(D13,_xldudf_SCOTT_GL(OrgId,A13,0,YearStart-1),0)*F13,0)</f>
        <v>0</v>
      </c>
      <c r="H13" s="14">
        <f ca="1">IFERROR(SUM(IF(D13,_xldudf_SCOTT_GL(OrgId,A13,YearStart,PeriodEnd),_xldudf_SCOTT_GL(OrgId,A13,0,PeriodEnd)),IF(A13=XreCode,$G$5,0)),0)</f>
        <v>-172</v>
      </c>
      <c r="I13" s="34">
        <f t="shared" ca="1" si="0"/>
        <v>0</v>
      </c>
      <c r="J13" s="34">
        <f t="shared" ca="1" si="1"/>
        <v>172</v>
      </c>
      <c r="K13" s="34">
        <f t="shared" ca="1" si="2"/>
        <v>-172</v>
      </c>
      <c r="N13">
        <v>1</v>
      </c>
      <c r="O13" t="str">
        <v>4005</v>
      </c>
      <c r="P13" t="str">
        <v>Membership Dues, Age 40-49</v>
      </c>
      <c r="Q13" t="str">
        <v>REVENUE</v>
      </c>
      <c r="R13" s="3" cm="1">
        <f t="array" aca="1" ref="R13" ca="1">IFERROR(_xldudf_SCOTT_GL(OrgId,O13,$P$2,$P$3),0)</f>
        <v>0</v>
      </c>
      <c r="S13" t="str">
        <v>5202</v>
      </c>
      <c r="T13" t="str">
        <v>Payroll Taxes</v>
      </c>
      <c r="U13" t="str">
        <v>EXPENSE</v>
      </c>
      <c r="V13" s="3" cm="1">
        <f t="array" aca="1" ref="V13" ca="1">IFERROR(_xldudf_SCOTT_GL(OrgId,S13,$P$2,$P$3),0)</f>
        <v>8819.5300000000007</v>
      </c>
    </row>
    <row r="14" spans="1:27" x14ac:dyDescent="0.3">
      <c r="A14" t="str">
        <v>1200</v>
      </c>
      <c r="B14" t="str">
        <v>Prepaid Expenses</v>
      </c>
      <c r="C14" t="str">
        <v>CURRENT</v>
      </c>
      <c r="D14" t="b">
        <v>0</v>
      </c>
      <c r="E14">
        <v>1</v>
      </c>
      <c r="F14">
        <v>0</v>
      </c>
      <c r="G14" s="14" cm="1">
        <f t="array" ref="G14">IFERROR(IF(D14,_xldudf_SCOTT_GL(OrgId,A14,0,YearStart-1),0)*F14,0)</f>
        <v>0</v>
      </c>
      <c r="H14" s="14">
        <f ca="1">IFERROR(SUM(IF(D14,_xldudf_SCOTT_GL(OrgId,A14,YearStart,PeriodEnd),_xldudf_SCOTT_GL(OrgId,A14,0,PeriodEnd)),IF(A14=XreCode,$G$5,0)),0)</f>
        <v>0</v>
      </c>
      <c r="I14" s="34">
        <f t="shared" ca="1" si="0"/>
        <v>0</v>
      </c>
      <c r="J14" s="34">
        <f t="shared" ca="1" si="1"/>
        <v>0</v>
      </c>
      <c r="K14" s="34">
        <f t="shared" ca="1" si="2"/>
        <v>0</v>
      </c>
      <c r="N14">
        <v>1</v>
      </c>
      <c r="O14" t="str">
        <v>4006</v>
      </c>
      <c r="P14" t="str">
        <v>Membership Dues, Age 50+</v>
      </c>
      <c r="Q14" t="str">
        <v>REVENUE</v>
      </c>
      <c r="R14" s="3" cm="1">
        <f t="array" aca="1" ref="R14" ca="1">IFERROR(_xldudf_SCOTT_GL(OrgId,O14,$P$2,$P$3),0)</f>
        <v>0</v>
      </c>
      <c r="S14" t="str">
        <v>5250</v>
      </c>
      <c r="T14" t="str">
        <v>EOY Staff Bonus</v>
      </c>
      <c r="U14" t="str">
        <v>EXPENSE</v>
      </c>
      <c r="V14" s="3" cm="1">
        <f t="array" aca="1" ref="V14" ca="1">IFERROR(_xldudf_SCOTT_GL(OrgId,S14,$P$2,$P$3),0)</f>
        <v>0</v>
      </c>
    </row>
    <row r="15" spans="1:27" x14ac:dyDescent="0.3">
      <c r="A15" t="str">
        <v>1201</v>
      </c>
      <c r="B15" t="str">
        <v>Utility Deposits</v>
      </c>
      <c r="C15" t="str">
        <v>CURRENT</v>
      </c>
      <c r="D15" t="b">
        <v>0</v>
      </c>
      <c r="E15">
        <v>1</v>
      </c>
      <c r="F15">
        <v>0</v>
      </c>
      <c r="G15" s="14" cm="1">
        <f t="array" ref="G15">IFERROR(IF(D15,_xldudf_SCOTT_GL(OrgId,A15,0,YearStart-1),0)*F15,0)</f>
        <v>0</v>
      </c>
      <c r="H15" s="14">
        <f ca="1">IFERROR(SUM(IF(D15,_xldudf_SCOTT_GL(OrgId,A15,YearStart,PeriodEnd),_xldudf_SCOTT_GL(OrgId,A15,0,PeriodEnd)),IF(A15=XreCode,$G$5,0)),0)</f>
        <v>85</v>
      </c>
      <c r="I15" s="34">
        <f t="shared" ca="1" si="0"/>
        <v>85</v>
      </c>
      <c r="J15" s="34">
        <f t="shared" ca="1" si="1"/>
        <v>0</v>
      </c>
      <c r="K15" s="34">
        <f t="shared" ca="1" si="2"/>
        <v>85</v>
      </c>
      <c r="N15">
        <v>1</v>
      </c>
      <c r="O15" t="str">
        <v>4007</v>
      </c>
      <c r="P15" t="str">
        <v>Membership Dues, Family</v>
      </c>
      <c r="Q15" t="str">
        <v>REVENUE</v>
      </c>
      <c r="R15" s="3" cm="1">
        <f t="array" aca="1" ref="R15" ca="1">IFERROR(_xldudf_SCOTT_GL(OrgId,O15,$P$2,$P$3),0)</f>
        <v>0</v>
      </c>
      <c r="S15" t="str">
        <v>5300</v>
      </c>
      <c r="T15" t="str">
        <v>Court Maintenance</v>
      </c>
      <c r="U15" t="str">
        <v>EXPENSE</v>
      </c>
      <c r="V15" s="3" cm="1">
        <f t="array" aca="1" ref="V15" ca="1">IFERROR(_xldudf_SCOTT_GL(OrgId,S15,$P$2,$P$3),0)</f>
        <v>89135.8</v>
      </c>
    </row>
    <row r="16" spans="1:27" x14ac:dyDescent="0.3">
      <c r="A16" t="str">
        <v>1300</v>
      </c>
      <c r="B16" t="str">
        <v>Inventory</v>
      </c>
      <c r="C16" t="str">
        <v>CURRENT</v>
      </c>
      <c r="D16" t="b">
        <v>0</v>
      </c>
      <c r="E16">
        <v>1</v>
      </c>
      <c r="F16">
        <v>0</v>
      </c>
      <c r="G16" s="14" cm="1">
        <f t="array" ref="G16">IFERROR(IF(D16,_xldudf_SCOTT_GL(OrgId,A16,0,YearStart-1),0)*F16,0)</f>
        <v>0</v>
      </c>
      <c r="H16" s="14">
        <f ca="1">IFERROR(SUM(IF(D16,_xldudf_SCOTT_GL(OrgId,A16,YearStart,PeriodEnd),_xldudf_SCOTT_GL(OrgId,A16,0,PeriodEnd)),IF(A16=XreCode,$G$5,0)),0)</f>
        <v>0</v>
      </c>
      <c r="I16" s="34">
        <f t="shared" ca="1" si="0"/>
        <v>0</v>
      </c>
      <c r="J16" s="34">
        <f t="shared" ca="1" si="1"/>
        <v>0</v>
      </c>
      <c r="K16" s="34">
        <f t="shared" ca="1" si="2"/>
        <v>0</v>
      </c>
      <c r="N16">
        <v>1</v>
      </c>
      <c r="O16" t="str">
        <v>4008</v>
      </c>
      <c r="P16" t="str">
        <v>Membership Dues, Trial</v>
      </c>
      <c r="Q16" t="str">
        <v>REVENUE</v>
      </c>
      <c r="R16" s="3" cm="1">
        <f t="array" aca="1" ref="R16" ca="1">IFERROR(_xldudf_SCOTT_GL(OrgId,O16,$P$2,$P$3),0)</f>
        <v>0</v>
      </c>
      <c r="S16" t="str">
        <v>5301</v>
      </c>
      <c r="T16" t="str">
        <v>Building Maintenance</v>
      </c>
      <c r="U16" t="str">
        <v>EXPENSE</v>
      </c>
      <c r="V16" s="3" cm="1">
        <f t="array" aca="1" ref="V16" ca="1">IFERROR(_xldudf_SCOTT_GL(OrgId,S16,$P$2,$P$3),0)</f>
        <v>24708.55</v>
      </c>
    </row>
    <row r="17" spans="1:22" x14ac:dyDescent="0.3">
      <c r="A17" t="str">
        <v>1400</v>
      </c>
      <c r="B17" t="str">
        <v>Intangible Assets</v>
      </c>
      <c r="C17" t="str">
        <v>FIXED</v>
      </c>
      <c r="D17" t="b">
        <v>0</v>
      </c>
      <c r="E17">
        <v>1</v>
      </c>
      <c r="F17">
        <v>0</v>
      </c>
      <c r="G17" s="14" cm="1">
        <f t="array" ref="G17">IFERROR(IF(D17,_xldudf_SCOTT_GL(OrgId,A17,0,YearStart-1),0)*F17,0)</f>
        <v>0</v>
      </c>
      <c r="H17" s="14">
        <f ca="1">IFERROR(SUM(IF(D17,_xldudf_SCOTT_GL(OrgId,A17,YearStart,PeriodEnd),_xldudf_SCOTT_GL(OrgId,A17,0,PeriodEnd)),IF(A17=XreCode,$G$5,0)),0)</f>
        <v>0</v>
      </c>
      <c r="I17" s="34">
        <f t="shared" ca="1" si="0"/>
        <v>0</v>
      </c>
      <c r="J17" s="34">
        <f t="shared" ca="1" si="1"/>
        <v>0</v>
      </c>
      <c r="K17" s="34">
        <f t="shared" ca="1" si="2"/>
        <v>0</v>
      </c>
      <c r="N17">
        <v>1</v>
      </c>
      <c r="O17" t="str">
        <v>4009</v>
      </c>
      <c r="P17" t="str">
        <v>Membership Dues, Non-Resident</v>
      </c>
      <c r="Q17" t="str">
        <v>REVENUE</v>
      </c>
      <c r="R17" s="3" cm="1">
        <f t="array" aca="1" ref="R17" ca="1">IFERROR(_xldudf_SCOTT_GL(OrgId,O17,$P$2,$P$3),0)</f>
        <v>0</v>
      </c>
      <c r="S17" t="str">
        <v>5302</v>
      </c>
      <c r="T17" t="str">
        <v>Operating Supplies</v>
      </c>
      <c r="U17" t="str">
        <v>EXPENSE</v>
      </c>
      <c r="V17" s="3" cm="1">
        <f t="array" aca="1" ref="V17" ca="1">IFERROR(_xldudf_SCOTT_GL(OrgId,S17,$P$2,$P$3),0)</f>
        <v>3901.61</v>
      </c>
    </row>
    <row r="18" spans="1:22" x14ac:dyDescent="0.3">
      <c r="A18" t="str">
        <v>1500</v>
      </c>
      <c r="B18" t="str">
        <v>Land</v>
      </c>
      <c r="C18" t="str">
        <v>FIXED</v>
      </c>
      <c r="D18" t="b">
        <v>0</v>
      </c>
      <c r="E18">
        <v>1</v>
      </c>
      <c r="F18">
        <v>0</v>
      </c>
      <c r="G18" s="14" cm="1">
        <f t="array" ref="G18">IFERROR(IF(D18,_xldudf_SCOTT_GL(OrgId,A18,0,YearStart-1),0)*F18,0)</f>
        <v>0</v>
      </c>
      <c r="H18" s="14">
        <f ca="1">IFERROR(SUM(IF(D18,_xldudf_SCOTT_GL(OrgId,A18,YearStart,PeriodEnd),_xldudf_SCOTT_GL(OrgId,A18,0,PeriodEnd)),IF(A18=XreCode,$G$5,0)),0)</f>
        <v>25000</v>
      </c>
      <c r="I18" s="34">
        <f t="shared" ca="1" si="0"/>
        <v>25000</v>
      </c>
      <c r="J18" s="34">
        <f t="shared" ca="1" si="1"/>
        <v>0</v>
      </c>
      <c r="K18" s="34">
        <f t="shared" ca="1" si="2"/>
        <v>25000</v>
      </c>
      <c r="N18">
        <v>1</v>
      </c>
      <c r="O18" t="str">
        <v>4100</v>
      </c>
      <c r="P18" t="str">
        <v>Guest Fees</v>
      </c>
      <c r="Q18" t="str">
        <v>REVENUE</v>
      </c>
      <c r="R18" s="3" cm="1">
        <f t="array" aca="1" ref="R18" ca="1">IFERROR(_xldudf_SCOTT_GL(OrgId,O18,$P$2,$P$3),0)</f>
        <v>15766.75</v>
      </c>
      <c r="S18" t="str">
        <v>5304</v>
      </c>
      <c r="T18" t="str">
        <v>Postage &amp; Delivery</v>
      </c>
      <c r="U18" t="str">
        <v>EXPENSE</v>
      </c>
      <c r="V18" s="3" cm="1">
        <f t="array" aca="1" ref="V18" ca="1">IFERROR(_xldudf_SCOTT_GL(OrgId,S18,$P$2,$P$3),0)</f>
        <v>418.23</v>
      </c>
    </row>
    <row r="19" spans="1:22" x14ac:dyDescent="0.3">
      <c r="A19" t="str">
        <v>1501</v>
      </c>
      <c r="B19" t="str">
        <v>Buildings</v>
      </c>
      <c r="C19" t="str">
        <v>FIXED</v>
      </c>
      <c r="D19" t="b">
        <v>0</v>
      </c>
      <c r="E19">
        <v>1</v>
      </c>
      <c r="F19">
        <v>0</v>
      </c>
      <c r="G19" s="14" cm="1">
        <f t="array" ref="G19">IFERROR(IF(D19,_xldudf_SCOTT_GL(OrgId,A19,0,YearStart-1),0)*F19,0)</f>
        <v>0</v>
      </c>
      <c r="H19" s="14">
        <f ca="1">IFERROR(SUM(IF(D19,_xldudf_SCOTT_GL(OrgId,A19,YearStart,PeriodEnd),_xldudf_SCOTT_GL(OrgId,A19,0,PeriodEnd)),IF(A19=XreCode,$G$5,0)),0)</f>
        <v>208995</v>
      </c>
      <c r="I19" s="34">
        <f t="shared" ca="1" si="0"/>
        <v>208995</v>
      </c>
      <c r="J19" s="34">
        <f t="shared" ca="1" si="1"/>
        <v>0</v>
      </c>
      <c r="K19" s="34">
        <f t="shared" ca="1" si="2"/>
        <v>208995</v>
      </c>
      <c r="N19">
        <v>1</v>
      </c>
      <c r="O19" t="str">
        <v>4150</v>
      </c>
      <c r="P19" t="str">
        <v>Clinic / Lesson Revenue</v>
      </c>
      <c r="Q19" t="str">
        <v>REVENUE</v>
      </c>
      <c r="R19" s="3" cm="1">
        <f t="array" aca="1" ref="R19" ca="1">IFERROR(_xldudf_SCOTT_GL(OrgId,O19,$P$2,$P$3),0)</f>
        <v>91</v>
      </c>
      <c r="S19" t="str">
        <v>5310</v>
      </c>
      <c r="T19" t="str">
        <v>Food Purchases</v>
      </c>
      <c r="U19" t="str">
        <v>EXPENSE</v>
      </c>
      <c r="V19" s="3" cm="1">
        <f t="array" aca="1" ref="V19" ca="1">IFERROR(_xldudf_SCOTT_GL(OrgId,S19,$P$2,$P$3),0)</f>
        <v>0</v>
      </c>
    </row>
    <row r="20" spans="1:22" x14ac:dyDescent="0.3">
      <c r="A20" t="str">
        <v>1502</v>
      </c>
      <c r="B20" t="str">
        <v>Building Improvements</v>
      </c>
      <c r="C20" t="str">
        <v>FIXED</v>
      </c>
      <c r="D20" t="b">
        <v>0</v>
      </c>
      <c r="E20">
        <v>1</v>
      </c>
      <c r="F20">
        <v>0</v>
      </c>
      <c r="G20" s="14" cm="1">
        <f t="array" ref="G20">IFERROR(IF(D20,_xldudf_SCOTT_GL(OrgId,A20,0,YearStart-1),0)*F20,0)</f>
        <v>0</v>
      </c>
      <c r="H20" s="14">
        <f ca="1">IFERROR(SUM(IF(D20,_xldudf_SCOTT_GL(OrgId,A20,YearStart,PeriodEnd),_xldudf_SCOTT_GL(OrgId,A20,0,PeriodEnd)),IF(A20=XreCode,$G$5,0)),0)</f>
        <v>0</v>
      </c>
      <c r="I20" s="34">
        <f t="shared" ca="1" si="0"/>
        <v>0</v>
      </c>
      <c r="J20" s="34">
        <f t="shared" ca="1" si="1"/>
        <v>0</v>
      </c>
      <c r="K20" s="34">
        <f t="shared" ca="1" si="2"/>
        <v>0</v>
      </c>
      <c r="N20">
        <v>1</v>
      </c>
      <c r="O20" t="str">
        <v>4200</v>
      </c>
      <c r="P20" t="str">
        <v>Member Donations - Operations</v>
      </c>
      <c r="Q20" t="str">
        <v>REVENUE</v>
      </c>
      <c r="R20" s="3" cm="1">
        <f t="array" aca="1" ref="R20" ca="1">IFERROR(_xldudf_SCOTT_GL(OrgId,O20,$P$2,$P$3),0)</f>
        <v>32639.96</v>
      </c>
      <c r="S20" t="str">
        <v>5320</v>
      </c>
      <c r="T20" t="str">
        <v>Beverage Purchase</v>
      </c>
      <c r="U20" t="str">
        <v>EXPENSE</v>
      </c>
      <c r="V20" s="3" cm="1">
        <f t="array" aca="1" ref="V20" ca="1">IFERROR(_xldudf_SCOTT_GL(OrgId,S20,$P$2,$P$3),0)</f>
        <v>0</v>
      </c>
    </row>
    <row r="21" spans="1:22" x14ac:dyDescent="0.3">
      <c r="A21" t="str">
        <v>1503</v>
      </c>
      <c r="B21" t="str">
        <v>Furniture &amp; Equipment</v>
      </c>
      <c r="C21" t="str">
        <v>FIXED</v>
      </c>
      <c r="D21" t="b">
        <v>0</v>
      </c>
      <c r="E21">
        <v>1</v>
      </c>
      <c r="F21">
        <v>0</v>
      </c>
      <c r="G21" s="14" cm="1">
        <f t="array" ref="G21">IFERROR(IF(D21,_xldudf_SCOTT_GL(OrgId,A21,0,YearStart-1),0)*F21,0)</f>
        <v>0</v>
      </c>
      <c r="H21" s="14">
        <f ca="1">IFERROR(SUM(IF(D21,_xldudf_SCOTT_GL(OrgId,A21,YearStart,PeriodEnd),_xldudf_SCOTT_GL(OrgId,A21,0,PeriodEnd)),IF(A21=XreCode,$G$5,0)),0)</f>
        <v>40000</v>
      </c>
      <c r="I21" s="34">
        <f t="shared" ca="1" si="0"/>
        <v>40000</v>
      </c>
      <c r="J21" s="34">
        <f t="shared" ca="1" si="1"/>
        <v>0</v>
      </c>
      <c r="K21" s="34">
        <f t="shared" ca="1" si="2"/>
        <v>40000</v>
      </c>
      <c r="N21">
        <v>1</v>
      </c>
      <c r="O21" t="str">
        <v>4201</v>
      </c>
      <c r="P21" t="str">
        <v>Member Donations - Capital</v>
      </c>
      <c r="Q21" t="str">
        <v>REVENUE</v>
      </c>
      <c r="R21" s="3" cm="1">
        <f t="array" aca="1" ref="R21" ca="1">IFERROR(_xldudf_SCOTT_GL(OrgId,O21,$P$2,$P$3),0)</f>
        <v>12435</v>
      </c>
      <c r="S21" t="str">
        <v>5400</v>
      </c>
      <c r="T21" t="str">
        <v>Utilities - Electric &amp; Gas</v>
      </c>
      <c r="U21" t="str">
        <v>EXPENSE</v>
      </c>
      <c r="V21" s="3" cm="1">
        <f t="array" aca="1" ref="V21" ca="1">IFERROR(_xldudf_SCOTT_GL(OrgId,S21,$P$2,$P$3),0)</f>
        <v>6715.66</v>
      </c>
    </row>
    <row r="22" spans="1:22" x14ac:dyDescent="0.3">
      <c r="A22" t="str">
        <v>1504</v>
      </c>
      <c r="B22" t="str">
        <v>Tennis Courts</v>
      </c>
      <c r="C22" t="str">
        <v>FIXED</v>
      </c>
      <c r="D22" t="b">
        <v>0</v>
      </c>
      <c r="E22">
        <v>1</v>
      </c>
      <c r="F22">
        <v>0</v>
      </c>
      <c r="G22" s="14" cm="1">
        <f t="array" ref="G22">IFERROR(IF(D22,_xldudf_SCOTT_GL(OrgId,A22,0,YearStart-1),0)*F22,0)</f>
        <v>0</v>
      </c>
      <c r="H22" s="14">
        <f ca="1">IFERROR(SUM(IF(D22,_xldudf_SCOTT_GL(OrgId,A22,YearStart,PeriodEnd),_xldudf_SCOTT_GL(OrgId,A22,0,PeriodEnd)),IF(A22=XreCode,$G$5,0)),0)</f>
        <v>11000</v>
      </c>
      <c r="I22" s="34">
        <f t="shared" ca="1" si="0"/>
        <v>11000</v>
      </c>
      <c r="J22" s="34">
        <f t="shared" ca="1" si="1"/>
        <v>0</v>
      </c>
      <c r="K22" s="34">
        <f t="shared" ca="1" si="2"/>
        <v>11000</v>
      </c>
      <c r="N22">
        <v>1</v>
      </c>
      <c r="O22" t="str">
        <v>4202</v>
      </c>
      <c r="P22" t="str">
        <v>Member Donations - EOY Staff Bonus</v>
      </c>
      <c r="Q22" t="str">
        <v>REVENUE</v>
      </c>
      <c r="R22" s="3" cm="1">
        <f t="array" aca="1" ref="R22" ca="1">IFERROR(_xldudf_SCOTT_GL(OrgId,O22,$P$2,$P$3),0)</f>
        <v>0</v>
      </c>
      <c r="S22" t="str">
        <v>5401</v>
      </c>
      <c r="T22" t="str">
        <v>Utilities - Telephone &amp; Internet</v>
      </c>
      <c r="U22" t="str">
        <v>EXPENSE</v>
      </c>
      <c r="V22" s="3" cm="1">
        <f t="array" aca="1" ref="V22" ca="1">IFERROR(_xldudf_SCOTT_GL(OrgId,S22,$P$2,$P$3),0)</f>
        <v>4575.28</v>
      </c>
    </row>
    <row r="23" spans="1:22" x14ac:dyDescent="0.3">
      <c r="A23" t="str">
        <v>1601</v>
      </c>
      <c r="B23" t="str">
        <v>Accumulated Depreciation - Buildings</v>
      </c>
      <c r="C23" t="str">
        <v>FIXED</v>
      </c>
      <c r="D23" t="b">
        <v>0</v>
      </c>
      <c r="E23">
        <v>1</v>
      </c>
      <c r="F23">
        <v>0</v>
      </c>
      <c r="G23" s="14" cm="1">
        <f t="array" ref="G23">IFERROR(IF(D23,_xldudf_SCOTT_GL(OrgId,A23,0,YearStart-1),0)*F23,0)</f>
        <v>0</v>
      </c>
      <c r="H23" s="14">
        <f ca="1">IFERROR(SUM(IF(D23,_xldudf_SCOTT_GL(OrgId,A23,YearStart,PeriodEnd),_xldudf_SCOTT_GL(OrgId,A23,0,PeriodEnd)),IF(A23=XreCode,$G$5,0)),0)</f>
        <v>-186193</v>
      </c>
      <c r="I23" s="34">
        <f t="shared" ca="1" si="0"/>
        <v>0</v>
      </c>
      <c r="J23" s="34">
        <f t="shared" ca="1" si="1"/>
        <v>186193</v>
      </c>
      <c r="K23" s="34">
        <f t="shared" ca="1" si="2"/>
        <v>-186193</v>
      </c>
      <c r="N23">
        <v>1</v>
      </c>
      <c r="O23" t="str">
        <v>4500</v>
      </c>
      <c r="P23" t="str">
        <v>Merchandise Sales</v>
      </c>
      <c r="Q23" t="str">
        <v>REVENUE</v>
      </c>
      <c r="R23" s="3" cm="1">
        <f t="array" aca="1" ref="R23" ca="1">IFERROR(_xldudf_SCOTT_GL(OrgId,O23,$P$2,$P$3),0)</f>
        <v>1088.78</v>
      </c>
      <c r="S23" t="str">
        <v>5402</v>
      </c>
      <c r="T23" t="str">
        <v>Utilities - Water &amp; Sewer</v>
      </c>
      <c r="U23" t="str">
        <v>EXPENSE</v>
      </c>
      <c r="V23" s="3" cm="1">
        <f t="array" aca="1" ref="V23" ca="1">IFERROR(_xldudf_SCOTT_GL(OrgId,S23,$P$2,$P$3),0)</f>
        <v>39128.19</v>
      </c>
    </row>
    <row r="24" spans="1:22" x14ac:dyDescent="0.3">
      <c r="A24" t="str">
        <v>1602</v>
      </c>
      <c r="B24" t="str">
        <v>Accumulated Depreciation - Building Improvements</v>
      </c>
      <c r="C24" t="str">
        <v>FIXED</v>
      </c>
      <c r="D24" t="b">
        <v>0</v>
      </c>
      <c r="E24">
        <v>1</v>
      </c>
      <c r="F24">
        <v>0</v>
      </c>
      <c r="G24" s="14" cm="1">
        <f t="array" ref="G24">IFERROR(IF(D24,_xldudf_SCOTT_GL(OrgId,A24,0,YearStart-1),0)*F24,0)</f>
        <v>0</v>
      </c>
      <c r="H24" s="14">
        <f ca="1">IFERROR(SUM(IF(D24,_xldudf_SCOTT_GL(OrgId,A24,YearStart,PeriodEnd),_xldudf_SCOTT_GL(OrgId,A24,0,PeriodEnd)),IF(A24=XreCode,$G$5,0)),0)</f>
        <v>0</v>
      </c>
      <c r="I24" s="34">
        <f t="shared" ca="1" si="0"/>
        <v>0</v>
      </c>
      <c r="J24" s="34">
        <f t="shared" ca="1" si="1"/>
        <v>0</v>
      </c>
      <c r="K24" s="34">
        <f t="shared" ca="1" si="2"/>
        <v>0</v>
      </c>
      <c r="N24">
        <v>1</v>
      </c>
      <c r="O24" t="str">
        <v>4600</v>
      </c>
      <c r="P24" t="str">
        <v>Food Sales</v>
      </c>
      <c r="Q24" t="str">
        <v>REVENUE</v>
      </c>
      <c r="R24" s="3" cm="1">
        <f t="array" aca="1" ref="R24" ca="1">IFERROR(_xldudf_SCOTT_GL(OrgId,O24,$P$2,$P$3),0)</f>
        <v>0</v>
      </c>
      <c r="S24" t="str">
        <v>5403</v>
      </c>
      <c r="T24" t="str">
        <v>Utilities - Trash Removal</v>
      </c>
      <c r="U24" t="str">
        <v>EXPENSE</v>
      </c>
      <c r="V24" s="3" cm="1">
        <f t="array" aca="1" ref="V24" ca="1">IFERROR(_xldudf_SCOTT_GL(OrgId,S24,$P$2,$P$3),0)</f>
        <v>2736.14</v>
      </c>
    </row>
    <row r="25" spans="1:22" x14ac:dyDescent="0.3">
      <c r="A25" t="str">
        <v>1603</v>
      </c>
      <c r="B25" t="str">
        <v>Accumulated Depreciation - Equipment</v>
      </c>
      <c r="C25" t="str">
        <v>FIXED</v>
      </c>
      <c r="D25" t="b">
        <v>0</v>
      </c>
      <c r="E25">
        <v>1</v>
      </c>
      <c r="F25">
        <v>0</v>
      </c>
      <c r="G25" s="14" cm="1">
        <f t="array" ref="G25">IFERROR(IF(D25,_xldudf_SCOTT_GL(OrgId,A25,0,YearStart-1),0)*F25,0)</f>
        <v>0</v>
      </c>
      <c r="H25" s="14">
        <f ca="1">IFERROR(SUM(IF(D25,_xldudf_SCOTT_GL(OrgId,A25,YearStart,PeriodEnd),_xldudf_SCOTT_GL(OrgId,A25,0,PeriodEnd)),IF(A25=XreCode,$G$5,0)),0)</f>
        <v>-40000</v>
      </c>
      <c r="I25" s="34">
        <f t="shared" ca="1" si="0"/>
        <v>0</v>
      </c>
      <c r="J25" s="34">
        <f t="shared" ca="1" si="1"/>
        <v>40000</v>
      </c>
      <c r="K25" s="34">
        <f t="shared" ca="1" si="2"/>
        <v>-40000</v>
      </c>
      <c r="N25">
        <v>1</v>
      </c>
      <c r="O25" t="str">
        <v>4610</v>
      </c>
      <c r="P25" t="str">
        <v>Beverage Sales</v>
      </c>
      <c r="Q25" t="str">
        <v>REVENUE</v>
      </c>
      <c r="R25" s="3" cm="1">
        <f t="array" aca="1" ref="R25" ca="1">IFERROR(_xldudf_SCOTT_GL(OrgId,O25,$P$2,$P$3),0)</f>
        <v>0</v>
      </c>
      <c r="S25" t="str">
        <v>5500</v>
      </c>
      <c r="T25" t="str">
        <v>Marketing / Web Hosting</v>
      </c>
      <c r="U25" t="str">
        <v>EXPENSE</v>
      </c>
      <c r="V25" s="3" cm="1">
        <f t="array" aca="1" ref="V25" ca="1">IFERROR(_xldudf_SCOTT_GL(OrgId,S25,$P$2,$P$3),0)</f>
        <v>1142.3599999999999</v>
      </c>
    </row>
    <row r="26" spans="1:22" x14ac:dyDescent="0.3">
      <c r="A26" t="str">
        <v>2000</v>
      </c>
      <c r="B26" t="str">
        <v>Accounts Payable</v>
      </c>
      <c r="C26" t="str">
        <v>CURRLIAB</v>
      </c>
      <c r="D26" t="b">
        <v>0</v>
      </c>
      <c r="E26">
        <v>-1</v>
      </c>
      <c r="F26">
        <v>0</v>
      </c>
      <c r="G26" s="14" cm="1">
        <f t="array" ref="G26">IFERROR(IF(D26,_xldudf_SCOTT_GL(OrgId,A26,0,YearStart-1),0)*F26,0)</f>
        <v>0</v>
      </c>
      <c r="H26" s="14">
        <f ca="1">IFERROR(SUM(IF(D26,_xldudf_SCOTT_GL(OrgId,A26,YearStart,PeriodEnd),_xldudf_SCOTT_GL(OrgId,A26,0,PeriodEnd)),IF(A26=XreCode,$G$5,0)),0)</f>
        <v>0</v>
      </c>
      <c r="I26" s="34">
        <f t="shared" ca="1" si="0"/>
        <v>0</v>
      </c>
      <c r="J26" s="34">
        <f t="shared" ca="1" si="1"/>
        <v>0</v>
      </c>
      <c r="K26" s="34">
        <f t="shared" ca="1" si="2"/>
        <v>0</v>
      </c>
      <c r="N26">
        <v>2</v>
      </c>
      <c r="O26" t="str">
        <v>4800</v>
      </c>
      <c r="P26" t="str">
        <v>Other Revenue</v>
      </c>
      <c r="Q26" t="str">
        <v>REVENUE</v>
      </c>
      <c r="R26" s="3" cm="1">
        <f t="array" aca="1" ref="R26" ca="1">IFERROR(_xldudf_SCOTT_GL(OrgId,O26,$P$2,$P$3),0)</f>
        <v>4769.47</v>
      </c>
      <c r="S26" t="str">
        <v>5501</v>
      </c>
      <c r="T26" t="str">
        <v>Signage</v>
      </c>
      <c r="U26" t="str">
        <v>EXPENSE</v>
      </c>
      <c r="V26" s="3" cm="1">
        <f t="array" aca="1" ref="V26" ca="1">IFERROR(_xldudf_SCOTT_GL(OrgId,S26,$P$2,$P$3),0)</f>
        <v>265.02999999999997</v>
      </c>
    </row>
    <row r="27" spans="1:22" x14ac:dyDescent="0.3">
      <c r="A27" t="str">
        <v>2001</v>
      </c>
      <c r="B27" t="str">
        <v>Expense Reimbursements Payable</v>
      </c>
      <c r="C27" t="str">
        <v>CURRLIAB</v>
      </c>
      <c r="D27" t="b">
        <v>0</v>
      </c>
      <c r="E27">
        <v>-1</v>
      </c>
      <c r="F27">
        <v>0</v>
      </c>
      <c r="G27" s="14" cm="1">
        <f t="array" ref="G27">IFERROR(IF(D27,_xldudf_SCOTT_GL(OrgId,A27,0,YearStart-1),0)*F27,0)</f>
        <v>0</v>
      </c>
      <c r="H27" s="14">
        <f ca="1">IFERROR(SUM(IF(D27,_xldudf_SCOTT_GL(OrgId,A27,YearStart,PeriodEnd),_xldudf_SCOTT_GL(OrgId,A27,0,PeriodEnd)),IF(A27=XreCode,$G$5,0)),0)</f>
        <v>0</v>
      </c>
      <c r="I27" s="34">
        <f t="shared" ca="1" si="0"/>
        <v>0</v>
      </c>
      <c r="J27" s="34">
        <f t="shared" ca="1" si="1"/>
        <v>0</v>
      </c>
      <c r="K27" s="34">
        <f t="shared" ca="1" si="2"/>
        <v>0</v>
      </c>
      <c r="N27">
        <v>2</v>
      </c>
      <c r="O27" t="str">
        <v>4900</v>
      </c>
      <c r="P27" t="str">
        <v>Interest Income</v>
      </c>
      <c r="Q27" t="str">
        <v>REVENUE</v>
      </c>
      <c r="R27" s="3" cm="1">
        <f t="array" aca="1" ref="R27" ca="1">IFERROR(_xldudf_SCOTT_GL(OrgId,O27,$P$2,$P$3),0)</f>
        <v>32.869999999999997</v>
      </c>
      <c r="S27" t="str">
        <v>5502</v>
      </c>
      <c r="T27" t="str">
        <v>Payment Discounts</v>
      </c>
      <c r="U27" t="str">
        <v>EXPENSE</v>
      </c>
      <c r="V27" s="3" cm="1">
        <f t="array" aca="1" ref="V27" ca="1">IFERROR(_xldudf_SCOTT_GL(OrgId,S27,$P$2,$P$3),0)</f>
        <v>-13.06</v>
      </c>
    </row>
    <row r="28" spans="1:22" x14ac:dyDescent="0.3">
      <c r="A28" t="str">
        <v>2002</v>
      </c>
      <c r="B28" t="str">
        <v>Sales Tax Payable</v>
      </c>
      <c r="C28" t="str">
        <v>CURRLIAB</v>
      </c>
      <c r="D28" t="b">
        <v>0</v>
      </c>
      <c r="E28">
        <v>-1</v>
      </c>
      <c r="F28">
        <v>0</v>
      </c>
      <c r="G28" s="14" cm="1">
        <f t="array" ref="G28">IFERROR(IF(D28,_xldudf_SCOTT_GL(OrgId,A28,0,YearStart-1),0)*F28,0)</f>
        <v>0</v>
      </c>
      <c r="H28" s="14">
        <f ca="1">IFERROR(SUM(IF(D28,_xldudf_SCOTT_GL(OrgId,A28,YearStart,PeriodEnd),_xldudf_SCOTT_GL(OrgId,A28,0,PeriodEnd)),IF(A28=XreCode,$G$5,0)),0)</f>
        <v>2536.36</v>
      </c>
      <c r="I28" s="34">
        <f t="shared" ca="1" si="0"/>
        <v>0</v>
      </c>
      <c r="J28" s="34">
        <f t="shared" ca="1" si="1"/>
        <v>2536.36</v>
      </c>
      <c r="K28" s="34">
        <f t="shared" ca="1" si="2"/>
        <v>-2536.36</v>
      </c>
      <c r="N28">
        <v>2</v>
      </c>
      <c r="R28" s="3" cm="1">
        <f t="array" aca="1" ref="R28" ca="1">IFERROR(_xldudf_SCOTT_GL(OrgId,O28,$P$2,$P$3),0)</f>
        <v>0</v>
      </c>
      <c r="S28" t="str">
        <v>5600</v>
      </c>
      <c r="T28" t="str">
        <v>Project Expenses</v>
      </c>
      <c r="U28" t="str">
        <v>EXPENSE</v>
      </c>
      <c r="V28" s="3" cm="1">
        <f t="array" aca="1" ref="V28" ca="1">IFERROR(_xldudf_SCOTT_GL(OrgId,S28,$P$2,$P$3),0)</f>
        <v>0</v>
      </c>
    </row>
    <row r="29" spans="1:22" x14ac:dyDescent="0.3">
      <c r="A29" t="str">
        <v>2003</v>
      </c>
      <c r="B29" t="str">
        <v>Outstanding Checks</v>
      </c>
      <c r="C29" t="str">
        <v>LIABILITY</v>
      </c>
      <c r="D29" t="b">
        <v>0</v>
      </c>
      <c r="E29">
        <v>-1</v>
      </c>
      <c r="F29">
        <v>0</v>
      </c>
      <c r="G29" s="14" cm="1">
        <f t="array" ref="G29">IFERROR(IF(D29,_xldudf_SCOTT_GL(OrgId,A29,0,YearStart-1),0)*F29,0)</f>
        <v>0</v>
      </c>
      <c r="H29" s="14">
        <f ca="1">IFERROR(SUM(IF(D29,_xldudf_SCOTT_GL(OrgId,A29,YearStart,PeriodEnd),_xldudf_SCOTT_GL(OrgId,A29,0,PeriodEnd)),IF(A29=XreCode,$G$5,0)),0)</f>
        <v>0</v>
      </c>
      <c r="I29" s="34">
        <f t="shared" ca="1" si="0"/>
        <v>0</v>
      </c>
      <c r="J29" s="34">
        <f t="shared" ca="1" si="1"/>
        <v>0</v>
      </c>
      <c r="K29" s="34">
        <f t="shared" ca="1" si="2"/>
        <v>0</v>
      </c>
      <c r="N29">
        <v>2</v>
      </c>
      <c r="R29" s="3" cm="1">
        <f t="array" aca="1" ref="R29" ca="1">IFERROR(_xldudf_SCOTT_GL(OrgId,O29,$P$2,$P$3),0)</f>
        <v>0</v>
      </c>
      <c r="S29" t="str">
        <v>5601</v>
      </c>
      <c r="T29" t="str">
        <v>Porch Furniture</v>
      </c>
      <c r="U29" t="str">
        <v>EXPENSE</v>
      </c>
      <c r="V29" s="3" cm="1">
        <f t="array" aca="1" ref="V29" ca="1">IFERROR(_xldudf_SCOTT_GL(OrgId,S29,$P$2,$P$3),0)</f>
        <v>0</v>
      </c>
    </row>
    <row r="30" spans="1:22" x14ac:dyDescent="0.3">
      <c r="A30" t="str">
        <v>2004</v>
      </c>
      <c r="B30" t="str">
        <v>Prepaid Membership Dues</v>
      </c>
      <c r="C30" t="str">
        <v>CURRLIAB</v>
      </c>
      <c r="D30" t="b">
        <v>0</v>
      </c>
      <c r="E30">
        <v>-1</v>
      </c>
      <c r="F30">
        <v>0</v>
      </c>
      <c r="G30" s="14" cm="1">
        <f t="array" ref="G30">IFERROR(IF(D30,_xldudf_SCOTT_GL(OrgId,A30,0,YearStart-1),0)*F30,0)</f>
        <v>0</v>
      </c>
      <c r="H30" s="14">
        <f ca="1">IFERROR(SUM(IF(D30,_xldudf_SCOTT_GL(OrgId,A30,YearStart,PeriodEnd),_xldudf_SCOTT_GL(OrgId,A30,0,PeriodEnd)),IF(A30=XreCode,$G$5,0)),0)</f>
        <v>0</v>
      </c>
      <c r="I30" s="34">
        <f t="shared" ca="1" si="0"/>
        <v>0</v>
      </c>
      <c r="J30" s="34">
        <f t="shared" ca="1" si="1"/>
        <v>0</v>
      </c>
      <c r="K30" s="34">
        <f t="shared" ca="1" si="2"/>
        <v>0</v>
      </c>
      <c r="N30">
        <v>2</v>
      </c>
      <c r="R30" s="3" cm="1">
        <f t="array" aca="1" ref="R30" ca="1">IFERROR(_xldudf_SCOTT_GL(OrgId,O30,$P$2,$P$3),0)</f>
        <v>0</v>
      </c>
      <c r="S30" t="str">
        <v>5602</v>
      </c>
      <c r="T30" t="str">
        <v>Gable and Roof Repair</v>
      </c>
      <c r="U30" t="str">
        <v>EXPENSE</v>
      </c>
      <c r="V30" s="3" cm="1">
        <f t="array" aca="1" ref="V30" ca="1">IFERROR(_xldudf_SCOTT_GL(OrgId,S30,$P$2,$P$3),0)</f>
        <v>0</v>
      </c>
    </row>
    <row r="31" spans="1:22" x14ac:dyDescent="0.3">
      <c r="A31" t="str">
        <v>2100</v>
      </c>
      <c r="B31" t="str">
        <v>Salaries &amp; Wages Payable</v>
      </c>
      <c r="C31" t="str">
        <v>CURRLIAB</v>
      </c>
      <c r="D31" t="b">
        <v>0</v>
      </c>
      <c r="E31">
        <v>-1</v>
      </c>
      <c r="F31">
        <v>0</v>
      </c>
      <c r="G31" s="14" cm="1">
        <f t="array" ref="G31">IFERROR(IF(D31,_xldudf_SCOTT_GL(OrgId,A31,0,YearStart-1),0)*F31,0)</f>
        <v>0</v>
      </c>
      <c r="H31" s="14">
        <f ca="1">IFERROR(SUM(IF(D31,_xldudf_SCOTT_GL(OrgId,A31,YearStart,PeriodEnd),_xldudf_SCOTT_GL(OrgId,A31,0,PeriodEnd)),IF(A31=XreCode,$G$5,0)),0)</f>
        <v>0</v>
      </c>
      <c r="I31" s="34">
        <f t="shared" ca="1" si="0"/>
        <v>0</v>
      </c>
      <c r="J31" s="34">
        <f t="shared" ca="1" si="1"/>
        <v>0</v>
      </c>
      <c r="K31" s="34">
        <f t="shared" ca="1" si="2"/>
        <v>0</v>
      </c>
      <c r="N31">
        <v>2</v>
      </c>
      <c r="R31" s="3" cm="1">
        <f t="array" aca="1" ref="R31" ca="1">IFERROR(_xldudf_SCOTT_GL(OrgId,O31,$P$2,$P$3),0)</f>
        <v>0</v>
      </c>
      <c r="S31" t="str">
        <v>6000</v>
      </c>
      <c r="T31" t="str">
        <v>Property Taxes</v>
      </c>
      <c r="U31" t="str">
        <v>EXPENSE</v>
      </c>
      <c r="V31" s="3" cm="1">
        <f t="array" aca="1" ref="V31" ca="1">IFERROR(_xldudf_SCOTT_GL(OrgId,S31,$P$2,$P$3),0)</f>
        <v>90101.36</v>
      </c>
    </row>
    <row r="32" spans="1:22" x14ac:dyDescent="0.3">
      <c r="A32" t="str">
        <v>2101</v>
      </c>
      <c r="B32" t="str">
        <v>Payroll Taxes Payable</v>
      </c>
      <c r="C32" t="str">
        <v>CURRLIAB</v>
      </c>
      <c r="D32" t="b">
        <v>0</v>
      </c>
      <c r="E32">
        <v>-1</v>
      </c>
      <c r="F32">
        <v>0</v>
      </c>
      <c r="G32" s="14" cm="1">
        <f t="array" ref="G32">IFERROR(IF(D32,_xldudf_SCOTT_GL(OrgId,A32,0,YearStart-1),0)*F32,0)</f>
        <v>0</v>
      </c>
      <c r="H32" s="14">
        <f ca="1">IFERROR(SUM(IF(D32,_xldudf_SCOTT_GL(OrgId,A32,YearStart,PeriodEnd),_xldudf_SCOTT_GL(OrgId,A32,0,PeriodEnd)),IF(A32=XreCode,$G$5,0)),0)</f>
        <v>0</v>
      </c>
      <c r="I32" s="34">
        <f t="shared" ca="1" si="0"/>
        <v>0</v>
      </c>
      <c r="J32" s="34">
        <f t="shared" ca="1" si="1"/>
        <v>0</v>
      </c>
      <c r="K32" s="34">
        <f t="shared" ca="1" si="2"/>
        <v>0</v>
      </c>
      <c r="N32">
        <v>2</v>
      </c>
      <c r="R32" s="3" cm="1">
        <f t="array" aca="1" ref="R32" ca="1">IFERROR(_xldudf_SCOTT_GL(OrgId,O32,$P$2,$P$3),0)</f>
        <v>0</v>
      </c>
      <c r="S32" t="str">
        <v>6100</v>
      </c>
      <c r="T32" t="str">
        <v>Insurance</v>
      </c>
      <c r="U32" t="str">
        <v>EXPENSE</v>
      </c>
      <c r="V32" s="3" cm="1">
        <f t="array" aca="1" ref="V32" ca="1">IFERROR(_xldudf_SCOTT_GL(OrgId,S32,$P$2,$P$3),0)</f>
        <v>22155</v>
      </c>
    </row>
    <row r="33" spans="1:22" x14ac:dyDescent="0.3">
      <c r="A33" t="str">
        <v>2102</v>
      </c>
      <c r="B33" t="str">
        <v>Garnishments Payable</v>
      </c>
      <c r="C33" t="str">
        <v>LIABILITY</v>
      </c>
      <c r="D33" t="b">
        <v>0</v>
      </c>
      <c r="E33">
        <v>-1</v>
      </c>
      <c r="F33">
        <v>0</v>
      </c>
      <c r="G33" s="14" cm="1">
        <f t="array" ref="G33">IFERROR(IF(D33,_xldudf_SCOTT_GL(OrgId,A33,0,YearStart-1),0)*F33,0)</f>
        <v>0</v>
      </c>
      <c r="H33" s="14">
        <f ca="1">IFERROR(SUM(IF(D33,_xldudf_SCOTT_GL(OrgId,A33,YearStart,PeriodEnd),_xldudf_SCOTT_GL(OrgId,A33,0,PeriodEnd)),IF(A33=XreCode,$G$5,0)),0)</f>
        <v>0</v>
      </c>
      <c r="I33" s="34">
        <f t="shared" ca="1" si="0"/>
        <v>0</v>
      </c>
      <c r="J33" s="34">
        <f t="shared" ca="1" si="1"/>
        <v>0</v>
      </c>
      <c r="K33" s="34">
        <f t="shared" ca="1" si="2"/>
        <v>0</v>
      </c>
      <c r="N33">
        <v>2</v>
      </c>
      <c r="R33" s="3" cm="1">
        <f t="array" aca="1" ref="R33" ca="1">IFERROR(_xldudf_SCOTT_GL(OrgId,O33,$P$2,$P$3),0)</f>
        <v>0</v>
      </c>
      <c r="S33" t="str">
        <v>6200</v>
      </c>
      <c r="T33" t="str">
        <v>Ohio Sales Taxes</v>
      </c>
      <c r="U33" t="str">
        <v>EXPENSE</v>
      </c>
      <c r="V33" s="3" cm="1">
        <f t="array" aca="1" ref="V33" ca="1">IFERROR(_xldudf_SCOTT_GL(OrgId,S33,$P$2,$P$3),0)</f>
        <v>2351.4899999999998</v>
      </c>
    </row>
    <row r="34" spans="1:22" x14ac:dyDescent="0.3">
      <c r="A34" t="str">
        <v>2500</v>
      </c>
      <c r="B34" t="str">
        <v>Loans Payable</v>
      </c>
      <c r="C34" t="str">
        <v>TERMLIAB</v>
      </c>
      <c r="D34" t="b">
        <v>0</v>
      </c>
      <c r="E34">
        <v>-1</v>
      </c>
      <c r="F34">
        <v>0</v>
      </c>
      <c r="G34" s="14" cm="1">
        <f t="array" ref="G34">IFERROR(IF(D34,_xldudf_SCOTT_GL(OrgId,A34,0,YearStart-1),0)*F34,0)</f>
        <v>0</v>
      </c>
      <c r="H34" s="14">
        <f ca="1">IFERROR(SUM(IF(D34,_xldudf_SCOTT_GL(OrgId,A34,YearStart,PeriodEnd),_xldudf_SCOTT_GL(OrgId,A34,0,PeriodEnd)),IF(A34=XreCode,$G$5,0)),0)</f>
        <v>0</v>
      </c>
      <c r="I34" s="34">
        <f t="shared" ca="1" si="0"/>
        <v>0</v>
      </c>
      <c r="J34" s="34">
        <f t="shared" ca="1" si="1"/>
        <v>0</v>
      </c>
      <c r="K34" s="34">
        <f t="shared" ca="1" si="2"/>
        <v>0</v>
      </c>
      <c r="N34">
        <v>2</v>
      </c>
      <c r="R34" s="3" cm="1">
        <f t="array" aca="1" ref="R34" ca="1">IFERROR(_xldudf_SCOTT_GL(OrgId,O34,$P$2,$P$3),0)</f>
        <v>0</v>
      </c>
      <c r="S34" t="str">
        <v>7000</v>
      </c>
      <c r="T34" t="str">
        <v>Depreciation &amp; Amortization</v>
      </c>
      <c r="U34" t="str">
        <v>DEPRECIATN</v>
      </c>
      <c r="V34" s="3" cm="1">
        <f t="array" aca="1" ref="V34" ca="1">IFERROR(_xldudf_SCOTT_GL(OrgId,S34,$P$2,$P$3),0)</f>
        <v>3910</v>
      </c>
    </row>
    <row r="35" spans="1:22" x14ac:dyDescent="0.3">
      <c r="A35" t="str">
        <v>2996</v>
      </c>
      <c r="B35" t="str">
        <v>Tracking Transfers</v>
      </c>
      <c r="C35" t="str">
        <v>CURRLIAB</v>
      </c>
      <c r="D35" t="b">
        <v>0</v>
      </c>
      <c r="E35">
        <v>-1</v>
      </c>
      <c r="F35">
        <v>0</v>
      </c>
      <c r="G35" s="14" cm="1">
        <f t="array" ref="G35">IFERROR(IF(D35,_xldudf_SCOTT_GL(OrgId,A35,0,YearStart-1),0)*F35,0)</f>
        <v>0</v>
      </c>
      <c r="H35" s="14">
        <f ca="1">IFERROR(SUM(IF(D35,_xldudf_SCOTT_GL(OrgId,A35,YearStart,PeriodEnd),_xldudf_SCOTT_GL(OrgId,A35,0,PeriodEnd)),IF(A35=XreCode,$G$5,0)),0)</f>
        <v>0</v>
      </c>
      <c r="I35" s="34">
        <f t="shared" ca="1" si="0"/>
        <v>0</v>
      </c>
      <c r="J35" s="34">
        <f t="shared" ca="1" si="1"/>
        <v>0</v>
      </c>
      <c r="K35" s="34">
        <f t="shared" ca="1" si="2"/>
        <v>0</v>
      </c>
      <c r="N35">
        <v>2</v>
      </c>
      <c r="R35" s="3" cm="1">
        <f t="array" aca="1" ref="R35" ca="1">IFERROR(_xldudf_SCOTT_GL(OrgId,O35,$P$2,$P$3),0)</f>
        <v>0</v>
      </c>
      <c r="S35" t="str">
        <v>9900</v>
      </c>
      <c r="T35" t="str">
        <v>Driveway Repair</v>
      </c>
      <c r="U35" t="str">
        <v>EXPENSE</v>
      </c>
      <c r="V35" s="3" cm="1">
        <f t="array" aca="1" ref="V35" ca="1">IFERROR(_xldudf_SCOTT_GL(OrgId,S35,$P$2,$P$3),0)</f>
        <v>330</v>
      </c>
    </row>
    <row r="36" spans="1:22" x14ac:dyDescent="0.3">
      <c r="A36" t="str">
        <v>2997</v>
      </c>
      <c r="B36" t="str">
        <v>Historical Adjustment</v>
      </c>
      <c r="C36" t="str">
        <v>CURRLIAB</v>
      </c>
      <c r="D36" t="b">
        <v>0</v>
      </c>
      <c r="E36">
        <v>-1</v>
      </c>
      <c r="F36">
        <v>0</v>
      </c>
      <c r="G36" s="14" cm="1">
        <f t="array" ref="G36">IFERROR(IF(D36,_xldudf_SCOTT_GL(OrgId,A36,0,YearStart-1),0)*F36,0)</f>
        <v>0</v>
      </c>
      <c r="H36" s="14">
        <f ca="1">IFERROR(SUM(IF(D36,_xldudf_SCOTT_GL(OrgId,A36,YearStart,PeriodEnd),_xldudf_SCOTT_GL(OrgId,A36,0,PeriodEnd)),IF(A36=XreCode,$G$5,0)),0)</f>
        <v>0</v>
      </c>
      <c r="I36" s="34">
        <f t="shared" ca="1" si="0"/>
        <v>0</v>
      </c>
      <c r="J36" s="34">
        <f t="shared" ca="1" si="1"/>
        <v>0</v>
      </c>
      <c r="K36" s="34">
        <f t="shared" ca="1" si="2"/>
        <v>0</v>
      </c>
      <c r="N36">
        <v>2</v>
      </c>
      <c r="R36" s="3" cm="1">
        <f t="array" aca="1" ref="R36" ca="1">IFERROR(_xldudf_SCOTT_GL(OrgId,O36,$P$2,$P$3),0)</f>
        <v>0</v>
      </c>
      <c r="V36" s="3" cm="1">
        <f t="array" aca="1" ref="V36" ca="1">IFERROR(_xldudf_SCOTT_GL(OrgId,S36,$P$2,$P$3),0)</f>
        <v>0</v>
      </c>
    </row>
    <row r="37" spans="1:22" x14ac:dyDescent="0.3">
      <c r="A37" t="str">
        <v>2998</v>
      </c>
      <c r="B37" t="str">
        <v>Rounding</v>
      </c>
      <c r="C37" t="str">
        <v>EXPENSE</v>
      </c>
      <c r="D37" t="b">
        <v>1</v>
      </c>
      <c r="E37">
        <v>1</v>
      </c>
      <c r="F37">
        <v>-1</v>
      </c>
      <c r="G37" s="14" cm="1">
        <f t="array" aca="1" ref="G37" ca="1">IFERROR(IF(D37,_xldudf_SCOTT_GL(OrgId,A37,0,YearStart-1),0)*F37,0)</f>
        <v>471.21</v>
      </c>
      <c r="H37" s="14">
        <f ca="1">IFERROR(SUM(IF(D37,_xldudf_SCOTT_GL(OrgId,A37,YearStart,PeriodEnd),_xldudf_SCOTT_GL(OrgId,A37,0,PeriodEnd)),IF(A37=XreCode,$G$5,0)),0)</f>
        <v>-0.02</v>
      </c>
      <c r="I37" s="34">
        <f t="shared" ca="1" si="0"/>
        <v>0</v>
      </c>
      <c r="J37" s="34">
        <f t="shared" ca="1" si="1"/>
        <v>0.02</v>
      </c>
      <c r="K37" s="34">
        <f t="shared" ca="1" si="2"/>
        <v>-0.02</v>
      </c>
      <c r="N37">
        <v>5</v>
      </c>
      <c r="R37" s="3" cm="1">
        <f t="array" aca="1" ref="R37" ca="1">IFERROR(_xldudf_SCOTT_GL(OrgId,O37,$P$2,$P$3),0)</f>
        <v>0</v>
      </c>
      <c r="V37" s="3" cm="1">
        <f t="array" aca="1" ref="V37" ca="1">IFERROR(_xldudf_SCOTT_GL(OrgId,S37,$P$2,$P$3),0)</f>
        <v>0</v>
      </c>
    </row>
    <row r="38" spans="1:22" x14ac:dyDescent="0.3">
      <c r="A38" t="str">
        <v>2999</v>
      </c>
      <c r="B38" t="str">
        <v>Suspense</v>
      </c>
      <c r="C38" t="str">
        <v>CURRLIAB</v>
      </c>
      <c r="D38" t="b">
        <v>0</v>
      </c>
      <c r="E38">
        <v>-1</v>
      </c>
      <c r="F38">
        <v>0</v>
      </c>
      <c r="G38" s="14" cm="1">
        <f t="array" ref="G38">IFERROR(IF(D38,_xldudf_SCOTT_GL(OrgId,A38,0,YearStart-1),0)*F38,0)</f>
        <v>0</v>
      </c>
      <c r="H38" s="14">
        <f ca="1">IFERROR(SUM(IF(D38,_xldudf_SCOTT_GL(OrgId,A38,YearStart,PeriodEnd),_xldudf_SCOTT_GL(OrgId,A38,0,PeriodEnd)),IF(A38=XreCode,$G$5,0)),0)</f>
        <v>0</v>
      </c>
      <c r="I38" s="34">
        <f t="shared" ca="1" si="0"/>
        <v>0</v>
      </c>
      <c r="J38" s="34">
        <f t="shared" ca="1" si="1"/>
        <v>0</v>
      </c>
      <c r="K38" s="34">
        <f t="shared" ca="1" si="2"/>
        <v>0</v>
      </c>
      <c r="N38">
        <v>2</v>
      </c>
      <c r="R38" s="3" cm="1">
        <f t="array" aca="1" ref="R38" ca="1">IFERROR(_xldudf_SCOTT_GL(OrgId,O38,$P$2,$P$3),0)</f>
        <v>0</v>
      </c>
      <c r="V38" s="3" cm="1">
        <f t="array" aca="1" ref="V38" ca="1">IFERROR(_xldudf_SCOTT_GL(OrgId,S38,$P$2,$P$3),0)</f>
        <v>0</v>
      </c>
    </row>
    <row r="39" spans="1:22" x14ac:dyDescent="0.3">
      <c r="A39" t="str">
        <v>3000</v>
      </c>
      <c r="B39" t="str">
        <v>Common Stock</v>
      </c>
      <c r="C39" t="str">
        <v>EQUITY</v>
      </c>
      <c r="D39" t="b">
        <v>0</v>
      </c>
      <c r="E39">
        <v>-1</v>
      </c>
      <c r="F39">
        <v>0</v>
      </c>
      <c r="G39" s="14" cm="1">
        <f t="array" ref="G39">IFERROR(IF(D39,_xldudf_SCOTT_GL(OrgId,A39,0,YearStart-1),0)*F39,0)</f>
        <v>0</v>
      </c>
      <c r="H39" s="14">
        <f ca="1">IFERROR(SUM(IF(D39,_xldudf_SCOTT_GL(OrgId,A39,YearStart,PeriodEnd),_xldudf_SCOTT_GL(OrgId,A39,0,PeriodEnd)),IF(A39=XreCode,$G$5,0)),0)</f>
        <v>75000</v>
      </c>
      <c r="I39" s="34">
        <f t="shared" ca="1" si="0"/>
        <v>0</v>
      </c>
      <c r="J39" s="34">
        <f t="shared" ca="1" si="1"/>
        <v>75000</v>
      </c>
      <c r="K39" s="34">
        <f t="shared" ca="1" si="2"/>
        <v>-75000</v>
      </c>
      <c r="N39">
        <v>3</v>
      </c>
      <c r="R39" s="3" cm="1">
        <f t="array" aca="1" ref="R39" ca="1">IFERROR(_xldudf_SCOTT_GL(OrgId,O39,$P$2,$P$3),0)</f>
        <v>0</v>
      </c>
      <c r="V39" s="3" cm="1">
        <f t="array" aca="1" ref="V39" ca="1">IFERROR(_xldudf_SCOTT_GL(OrgId,S39,$P$2,$P$3),0)</f>
        <v>0</v>
      </c>
    </row>
    <row r="40" spans="1:22" x14ac:dyDescent="0.3">
      <c r="A40" t="str">
        <v>3900</v>
      </c>
      <c r="B40" t="str">
        <v>Retained Earnings</v>
      </c>
      <c r="C40" t="str">
        <v>EQUITY</v>
      </c>
      <c r="D40" t="b">
        <v>0</v>
      </c>
      <c r="E40">
        <v>-1</v>
      </c>
      <c r="F40">
        <v>0</v>
      </c>
      <c r="G40" s="18" cm="1">
        <f t="array" ref="G40">IFERROR(IF(D40,_xldudf_SCOTT_GL(OrgId,A40,0,YearStart-1),0)*F40,0)</f>
        <v>0</v>
      </c>
      <c r="H40" s="18">
        <f ca="1">IFERROR(SUM(IF(D40,_xldudf_SCOTT_GL(OrgId,A40,YearStart,PeriodEnd),_xldudf_SCOTT_GL(OrgId,A40,0,PeriodEnd)),IF(A40=XreCode,$G$5,0)),0)</f>
        <v>-7534.0099999999275</v>
      </c>
      <c r="I40" s="35">
        <f t="shared" ca="1" si="0"/>
        <v>7534.0099999999275</v>
      </c>
      <c r="J40" s="35">
        <f t="shared" ca="1" si="1"/>
        <v>0</v>
      </c>
      <c r="K40" s="35">
        <f t="shared" ca="1" si="2"/>
        <v>7534.0099999999275</v>
      </c>
      <c r="N40">
        <v>3</v>
      </c>
      <c r="R40" s="3" cm="1">
        <f t="array" aca="1" ref="R40" ca="1">IFERROR(_xldudf_SCOTT_GL(OrgId,O40,$P$2,$P$3),0)</f>
        <v>0</v>
      </c>
      <c r="V40" s="3" cm="1">
        <f t="array" aca="1" ref="V40" ca="1">IFERROR(_xldudf_SCOTT_GL(OrgId,S40,$P$2,$P$3),0)</f>
        <v>0</v>
      </c>
    </row>
    <row r="41" spans="1:22" x14ac:dyDescent="0.3">
      <c r="A41" t="str">
        <v>4000</v>
      </c>
      <c r="B41" t="str">
        <v>Membership Dues (Unspecified)</v>
      </c>
      <c r="C41" t="str">
        <v>REVENUE</v>
      </c>
      <c r="D41" t="b">
        <v>1</v>
      </c>
      <c r="E41">
        <v>-1</v>
      </c>
      <c r="F41">
        <v>1</v>
      </c>
      <c r="G41" s="14" cm="1">
        <f t="array" aca="1" ref="G41" ca="1">IFERROR(IF(D41,_xldudf_SCOTT_GL(OrgId,A41,0,YearStart-1),0)*F41,0)</f>
        <v>383663.32</v>
      </c>
      <c r="H41" s="14">
        <f ca="1">IFERROR(SUM(IF(D41,_xldudf_SCOTT_GL(OrgId,A41,YearStart,PeriodEnd),_xldudf_SCOTT_GL(OrgId,A41,0,PeriodEnd)),IF(A41=XreCode,$G$5,0)),0)</f>
        <v>69932.639999999999</v>
      </c>
      <c r="I41" s="34">
        <f t="shared" ca="1" si="0"/>
        <v>0</v>
      </c>
      <c r="J41" s="34">
        <f t="shared" ca="1" si="1"/>
        <v>69932.639999999999</v>
      </c>
      <c r="K41" s="34">
        <f t="shared" ca="1" si="2"/>
        <v>-69932.639999999999</v>
      </c>
      <c r="N41">
        <v>4</v>
      </c>
      <c r="R41" s="3" cm="1">
        <f t="array" aca="1" ref="R41" ca="1">IFERROR(_xldudf_SCOTT_GL(OrgId,O41,$P$2,$P$3),0)</f>
        <v>0</v>
      </c>
      <c r="V41" s="3" cm="1">
        <f t="array" aca="1" ref="V41" ca="1">IFERROR(_xldudf_SCOTT_GL(OrgId,S41,$P$2,$P$3),0)</f>
        <v>0</v>
      </c>
    </row>
    <row r="42" spans="1:22" x14ac:dyDescent="0.3">
      <c r="A42" t="str">
        <v>4001</v>
      </c>
      <c r="B42" t="str">
        <v>Membership Dues, Introductory</v>
      </c>
      <c r="C42" t="str">
        <v>REVENUE</v>
      </c>
      <c r="D42" t="b">
        <v>1</v>
      </c>
      <c r="E42">
        <v>-1</v>
      </c>
      <c r="F42">
        <v>1</v>
      </c>
      <c r="G42" s="14" cm="1">
        <f t="array" aca="1" ref="G42" ca="1">IFERROR(IF(D42,_xldudf_SCOTT_GL(OrgId,A42,0,YearStart-1),0)*F42,0)</f>
        <v>0</v>
      </c>
      <c r="H42" s="14">
        <f ca="1">IFERROR(SUM(IF(D42,_xldudf_SCOTT_GL(OrgId,A42,YearStart,PeriodEnd),_xldudf_SCOTT_GL(OrgId,A42,0,PeriodEnd)),IF(A42=XreCode,$G$5,0)),0)</f>
        <v>0</v>
      </c>
      <c r="I42" s="34">
        <f t="shared" ca="1" si="0"/>
        <v>0</v>
      </c>
      <c r="J42" s="34">
        <f t="shared" ca="1" si="1"/>
        <v>0</v>
      </c>
      <c r="K42" s="34">
        <f t="shared" ca="1" si="2"/>
        <v>0</v>
      </c>
      <c r="N42">
        <v>4</v>
      </c>
      <c r="R42" s="3" cm="1">
        <f t="array" aca="1" ref="R42" ca="1">IFERROR(_xldudf_SCOTT_GL(OrgId,O42,$P$2,$P$3),0)</f>
        <v>0</v>
      </c>
      <c r="V42" s="3" cm="1">
        <f t="array" aca="1" ref="V42" ca="1">IFERROR(_xldudf_SCOTT_GL(OrgId,S42,$P$2,$P$3),0)</f>
        <v>0</v>
      </c>
    </row>
    <row r="43" spans="1:22" x14ac:dyDescent="0.3">
      <c r="A43" t="str">
        <v>4002</v>
      </c>
      <c r="B43" t="str">
        <v>Membership Dues, Junior Age &lt; 19</v>
      </c>
      <c r="C43" t="str">
        <v>REVENUE</v>
      </c>
      <c r="D43" t="b">
        <v>1</v>
      </c>
      <c r="E43">
        <v>-1</v>
      </c>
      <c r="F43">
        <v>1</v>
      </c>
      <c r="G43" s="14" cm="1">
        <f t="array" aca="1" ref="G43" ca="1">IFERROR(IF(D43,_xldudf_SCOTT_GL(OrgId,A43,0,YearStart-1),0)*F43,0)</f>
        <v>0</v>
      </c>
      <c r="H43" s="14">
        <f ca="1">IFERROR(SUM(IF(D43,_xldudf_SCOTT_GL(OrgId,A43,YearStart,PeriodEnd),_xldudf_SCOTT_GL(OrgId,A43,0,PeriodEnd)),IF(A43=XreCode,$G$5,0)),0)</f>
        <v>0</v>
      </c>
      <c r="I43" s="34">
        <f t="shared" ca="1" si="0"/>
        <v>0</v>
      </c>
      <c r="J43" s="34">
        <f t="shared" ca="1" si="1"/>
        <v>0</v>
      </c>
      <c r="K43" s="34">
        <f t="shared" ca="1" si="2"/>
        <v>0</v>
      </c>
      <c r="N43">
        <v>4</v>
      </c>
      <c r="R43" s="3" cm="1">
        <f t="array" aca="1" ref="R43" ca="1">IFERROR(_xldudf_SCOTT_GL(OrgId,O43,$P$2,$P$3),0)</f>
        <v>0</v>
      </c>
      <c r="V43" s="3" cm="1">
        <f t="array" aca="1" ref="V43" ca="1">IFERROR(_xldudf_SCOTT_GL(OrgId,S43,$P$2,$P$3),0)</f>
        <v>0</v>
      </c>
    </row>
    <row r="44" spans="1:22" x14ac:dyDescent="0.3">
      <c r="A44" t="str">
        <v>4003</v>
      </c>
      <c r="B44" t="str">
        <v>Membership Dues, Age 19-29</v>
      </c>
      <c r="C44" t="str">
        <v>REVENUE</v>
      </c>
      <c r="D44" t="b">
        <v>1</v>
      </c>
      <c r="E44">
        <v>-1</v>
      </c>
      <c r="F44">
        <v>1</v>
      </c>
      <c r="G44" s="14" cm="1">
        <f t="array" aca="1" ref="G44" ca="1">IFERROR(IF(D44,_xldudf_SCOTT_GL(OrgId,A44,0,YearStart-1),0)*F44,0)</f>
        <v>0</v>
      </c>
      <c r="H44" s="14">
        <f ca="1">IFERROR(SUM(IF(D44,_xldudf_SCOTT_GL(OrgId,A44,YearStart,PeriodEnd),_xldudf_SCOTT_GL(OrgId,A44,0,PeriodEnd)),IF(A44=XreCode,$G$5,0)),0)</f>
        <v>0</v>
      </c>
      <c r="I44" s="34">
        <f t="shared" ca="1" si="0"/>
        <v>0</v>
      </c>
      <c r="J44" s="34">
        <f t="shared" ca="1" si="1"/>
        <v>0</v>
      </c>
      <c r="K44" s="34">
        <f t="shared" ca="1" si="2"/>
        <v>0</v>
      </c>
      <c r="N44">
        <v>4</v>
      </c>
      <c r="R44" s="3" cm="1">
        <f t="array" aca="1" ref="R44" ca="1">IFERROR(_xldudf_SCOTT_GL(OrgId,O44,$P$2,$P$3),0)</f>
        <v>0</v>
      </c>
      <c r="V44" s="3" cm="1">
        <f t="array" aca="1" ref="V44" ca="1">IFERROR(_xldudf_SCOTT_GL(OrgId,S44,$P$2,$P$3),0)</f>
        <v>0</v>
      </c>
    </row>
    <row r="45" spans="1:22" x14ac:dyDescent="0.3">
      <c r="A45" t="str">
        <v>4004</v>
      </c>
      <c r="B45" t="str">
        <v>Membership Dues, Age 30-39</v>
      </c>
      <c r="C45" t="str">
        <v>REVENUE</v>
      </c>
      <c r="D45" t="b">
        <v>1</v>
      </c>
      <c r="E45">
        <v>-1</v>
      </c>
      <c r="F45">
        <v>1</v>
      </c>
      <c r="G45" s="14" cm="1">
        <f t="array" aca="1" ref="G45" ca="1">IFERROR(IF(D45,_xldudf_SCOTT_GL(OrgId,A45,0,YearStart-1),0)*F45,0)</f>
        <v>0</v>
      </c>
      <c r="H45" s="14">
        <f ca="1">IFERROR(SUM(IF(D45,_xldudf_SCOTT_GL(OrgId,A45,YearStart,PeriodEnd),_xldudf_SCOTT_GL(OrgId,A45,0,PeriodEnd)),IF(A45=XreCode,$G$5,0)),0)</f>
        <v>0</v>
      </c>
      <c r="I45" s="34">
        <f t="shared" ca="1" si="0"/>
        <v>0</v>
      </c>
      <c r="J45" s="34">
        <f t="shared" ca="1" si="1"/>
        <v>0</v>
      </c>
      <c r="K45" s="34">
        <f t="shared" ca="1" si="2"/>
        <v>0</v>
      </c>
      <c r="N45">
        <v>4</v>
      </c>
      <c r="R45" s="3" cm="1">
        <f t="array" aca="1" ref="R45" ca="1">IFERROR(_xldudf_SCOTT_GL(OrgId,O45,$P$2,$P$3),0)</f>
        <v>0</v>
      </c>
      <c r="V45" s="3" cm="1">
        <f t="array" aca="1" ref="V45" ca="1">IFERROR(_xldudf_SCOTT_GL(OrgId,S45,$P$2,$P$3),0)</f>
        <v>0</v>
      </c>
    </row>
    <row r="46" spans="1:22" x14ac:dyDescent="0.3">
      <c r="A46" t="str">
        <v>4005</v>
      </c>
      <c r="B46" t="str">
        <v>Membership Dues, Age 40-49</v>
      </c>
      <c r="C46" t="str">
        <v>REVENUE</v>
      </c>
      <c r="D46" t="b">
        <v>1</v>
      </c>
      <c r="E46">
        <v>-1</v>
      </c>
      <c r="F46">
        <v>1</v>
      </c>
      <c r="G46" s="14" cm="1">
        <f t="array" aca="1" ref="G46" ca="1">IFERROR(IF(D46,_xldudf_SCOTT_GL(OrgId,A46,0,YearStart-1),0)*F46,0)</f>
        <v>0</v>
      </c>
      <c r="H46" s="14">
        <f ca="1">IFERROR(SUM(IF(D46,_xldudf_SCOTT_GL(OrgId,A46,YearStart,PeriodEnd),_xldudf_SCOTT_GL(OrgId,A46,0,PeriodEnd)),IF(A46=XreCode,$G$5,0)),0)</f>
        <v>0</v>
      </c>
      <c r="I46" s="34">
        <f t="shared" ca="1" si="0"/>
        <v>0</v>
      </c>
      <c r="J46" s="34">
        <f t="shared" ca="1" si="1"/>
        <v>0</v>
      </c>
      <c r="K46" s="34">
        <f t="shared" ca="1" si="2"/>
        <v>0</v>
      </c>
      <c r="N46">
        <v>4</v>
      </c>
      <c r="R46" s="3" cm="1">
        <f t="array" aca="1" ref="R46" ca="1">IFERROR(_xldudf_SCOTT_GL(OrgId,O46,$P$2,$P$3),0)</f>
        <v>0</v>
      </c>
      <c r="V46" s="3" cm="1">
        <f t="array" aca="1" ref="V46" ca="1">IFERROR(_xldudf_SCOTT_GL(OrgId,S46,$P$2,$P$3),0)</f>
        <v>0</v>
      </c>
    </row>
    <row r="47" spans="1:22" x14ac:dyDescent="0.3">
      <c r="A47" t="str">
        <v>4006</v>
      </c>
      <c r="B47" t="str">
        <v>Membership Dues, Age 50+</v>
      </c>
      <c r="C47" t="str">
        <v>REVENUE</v>
      </c>
      <c r="D47" t="b">
        <v>1</v>
      </c>
      <c r="E47">
        <v>-1</v>
      </c>
      <c r="F47">
        <v>1</v>
      </c>
      <c r="G47" s="14" cm="1">
        <f t="array" aca="1" ref="G47" ca="1">IFERROR(IF(D47,_xldudf_SCOTT_GL(OrgId,A47,0,YearStart-1),0)*F47,0)</f>
        <v>0</v>
      </c>
      <c r="H47" s="14">
        <f ca="1">IFERROR(SUM(IF(D47,_xldudf_SCOTT_GL(OrgId,A47,YearStart,PeriodEnd),_xldudf_SCOTT_GL(OrgId,A47,0,PeriodEnd)),IF(A47=XreCode,$G$5,0)),0)</f>
        <v>0</v>
      </c>
      <c r="I47" s="34">
        <f t="shared" ca="1" si="0"/>
        <v>0</v>
      </c>
      <c r="J47" s="34">
        <f t="shared" ca="1" si="1"/>
        <v>0</v>
      </c>
      <c r="K47" s="34">
        <f t="shared" ca="1" si="2"/>
        <v>0</v>
      </c>
      <c r="N47">
        <v>4</v>
      </c>
      <c r="R47" s="3" cm="1">
        <f t="array" aca="1" ref="R47" ca="1">IFERROR(_xldudf_SCOTT_GL(OrgId,O47,$P$2,$P$3),0)</f>
        <v>0</v>
      </c>
      <c r="V47" s="3" cm="1">
        <f t="array" aca="1" ref="V47" ca="1">IFERROR(_xldudf_SCOTT_GL(OrgId,S47,$P$2,$P$3),0)</f>
        <v>0</v>
      </c>
    </row>
    <row r="48" spans="1:22" x14ac:dyDescent="0.3">
      <c r="A48" t="str">
        <v>4007</v>
      </c>
      <c r="B48" t="str">
        <v>Membership Dues, Family</v>
      </c>
      <c r="C48" t="str">
        <v>REVENUE</v>
      </c>
      <c r="D48" t="b">
        <v>1</v>
      </c>
      <c r="E48">
        <v>-1</v>
      </c>
      <c r="F48">
        <v>1</v>
      </c>
      <c r="G48" s="14" cm="1">
        <f t="array" aca="1" ref="G48" ca="1">IFERROR(IF(D48,_xldudf_SCOTT_GL(OrgId,A48,0,YearStart-1),0)*F48,0)</f>
        <v>0</v>
      </c>
      <c r="H48" s="14">
        <f ca="1">IFERROR(SUM(IF(D48,_xldudf_SCOTT_GL(OrgId,A48,YearStart,PeriodEnd),_xldudf_SCOTT_GL(OrgId,A48,0,PeriodEnd)),IF(A48=XreCode,$G$5,0)),0)</f>
        <v>0</v>
      </c>
      <c r="I48" s="34">
        <f t="shared" ca="1" si="0"/>
        <v>0</v>
      </c>
      <c r="J48" s="34">
        <f t="shared" ca="1" si="1"/>
        <v>0</v>
      </c>
      <c r="K48" s="34">
        <f t="shared" ca="1" si="2"/>
        <v>0</v>
      </c>
      <c r="N48">
        <v>4</v>
      </c>
      <c r="R48" s="3" cm="1">
        <f t="array" aca="1" ref="R48" ca="1">IFERROR(_xldudf_SCOTT_GL(OrgId,O48,$P$2,$P$3),0)</f>
        <v>0</v>
      </c>
      <c r="V48" s="3" cm="1">
        <f t="array" aca="1" ref="V48" ca="1">IFERROR(_xldudf_SCOTT_GL(OrgId,S48,$P$2,$P$3),0)</f>
        <v>0</v>
      </c>
    </row>
    <row r="49" spans="1:22" x14ac:dyDescent="0.3">
      <c r="A49" t="str">
        <v>4008</v>
      </c>
      <c r="B49" t="str">
        <v>Membership Dues, Trial</v>
      </c>
      <c r="C49" t="str">
        <v>REVENUE</v>
      </c>
      <c r="D49" t="b">
        <v>1</v>
      </c>
      <c r="E49">
        <v>-1</v>
      </c>
      <c r="F49">
        <v>1</v>
      </c>
      <c r="G49" s="14" cm="1">
        <f t="array" aca="1" ref="G49" ca="1">IFERROR(IF(D49,_xldudf_SCOTT_GL(OrgId,A49,0,YearStart-1),0)*F49,0)</f>
        <v>0</v>
      </c>
      <c r="H49" s="14">
        <f ca="1">IFERROR(SUM(IF(D49,_xldudf_SCOTT_GL(OrgId,A49,YearStart,PeriodEnd),_xldudf_SCOTT_GL(OrgId,A49,0,PeriodEnd)),IF(A49=XreCode,$G$5,0)),0)</f>
        <v>0</v>
      </c>
      <c r="I49" s="34">
        <f t="shared" ca="1" si="0"/>
        <v>0</v>
      </c>
      <c r="J49" s="34">
        <f t="shared" ca="1" si="1"/>
        <v>0</v>
      </c>
      <c r="K49" s="34">
        <f t="shared" ca="1" si="2"/>
        <v>0</v>
      </c>
      <c r="N49">
        <v>4</v>
      </c>
      <c r="R49" s="3" cm="1">
        <f t="array" aca="1" ref="R49" ca="1">IFERROR(_xldudf_SCOTT_GL(OrgId,O49,$P$2,$P$3),0)</f>
        <v>0</v>
      </c>
      <c r="V49" s="3" cm="1">
        <f t="array" aca="1" ref="V49" ca="1">IFERROR(_xldudf_SCOTT_GL(OrgId,S49,$P$2,$P$3),0)</f>
        <v>0</v>
      </c>
    </row>
    <row r="50" spans="1:22" x14ac:dyDescent="0.3">
      <c r="A50" t="str">
        <v>4009</v>
      </c>
      <c r="B50" t="str">
        <v>Membership Dues, Non-Resident</v>
      </c>
      <c r="C50" t="str">
        <v>REVENUE</v>
      </c>
      <c r="D50" t="b">
        <v>1</v>
      </c>
      <c r="E50">
        <v>-1</v>
      </c>
      <c r="F50">
        <v>1</v>
      </c>
      <c r="G50" s="14" cm="1">
        <f t="array" aca="1" ref="G50" ca="1">IFERROR(IF(D50,_xldudf_SCOTT_GL(OrgId,A50,0,YearStart-1),0)*F50,0)</f>
        <v>0</v>
      </c>
      <c r="H50" s="14">
        <f ca="1">IFERROR(SUM(IF(D50,_xldudf_SCOTT_GL(OrgId,A50,YearStart,PeriodEnd),_xldudf_SCOTT_GL(OrgId,A50,0,PeriodEnd)),IF(A50=XreCode,$G$5,0)),0)</f>
        <v>0</v>
      </c>
      <c r="I50" s="34">
        <f t="shared" ca="1" si="0"/>
        <v>0</v>
      </c>
      <c r="J50" s="34">
        <f t="shared" ca="1" si="1"/>
        <v>0</v>
      </c>
      <c r="K50" s="34">
        <f t="shared" ca="1" si="2"/>
        <v>0</v>
      </c>
      <c r="N50">
        <v>4</v>
      </c>
      <c r="R50" s="3" cm="1">
        <f t="array" aca="1" ref="R50" ca="1">IFERROR(_xldudf_SCOTT_GL(OrgId,O50,$P$2,$P$3),0)</f>
        <v>0</v>
      </c>
      <c r="V50" s="3" cm="1">
        <f t="array" aca="1" ref="V50" ca="1">IFERROR(_xldudf_SCOTT_GL(OrgId,S50,$P$2,$P$3),0)</f>
        <v>0</v>
      </c>
    </row>
    <row r="51" spans="1:22" x14ac:dyDescent="0.3">
      <c r="A51" t="str">
        <v>4100</v>
      </c>
      <c r="B51" t="str">
        <v>Guest Fees</v>
      </c>
      <c r="C51" t="str">
        <v>REVENUE</v>
      </c>
      <c r="D51" t="b">
        <v>1</v>
      </c>
      <c r="E51">
        <v>-1</v>
      </c>
      <c r="F51">
        <v>1</v>
      </c>
      <c r="G51" s="14" cm="1">
        <f t="array" aca="1" ref="G51" ca="1">IFERROR(IF(D51,_xldudf_SCOTT_GL(OrgId,A51,0,YearStart-1),0)*F51,0)</f>
        <v>15766.75</v>
      </c>
      <c r="H51" s="14">
        <f ca="1">IFERROR(SUM(IF(D51,_xldudf_SCOTT_GL(OrgId,A51,YearStart,PeriodEnd),_xldudf_SCOTT_GL(OrgId,A51,0,PeriodEnd)),IF(A51=XreCode,$G$5,0)),0)</f>
        <v>1270</v>
      </c>
      <c r="I51" s="34">
        <f t="shared" ca="1" si="0"/>
        <v>0</v>
      </c>
      <c r="J51" s="34">
        <f t="shared" ca="1" si="1"/>
        <v>1270</v>
      </c>
      <c r="K51" s="34">
        <f t="shared" ca="1" si="2"/>
        <v>-1270</v>
      </c>
      <c r="N51">
        <v>4</v>
      </c>
      <c r="R51" s="3" cm="1">
        <f t="array" aca="1" ref="R51" ca="1">IFERROR(_xldudf_SCOTT_GL(OrgId,O51,$P$2,$P$3),0)</f>
        <v>0</v>
      </c>
      <c r="V51" s="3" cm="1">
        <f t="array" aca="1" ref="V51" ca="1">IFERROR(_xldudf_SCOTT_GL(OrgId,S51,$P$2,$P$3),0)</f>
        <v>0</v>
      </c>
    </row>
    <row r="52" spans="1:22" x14ac:dyDescent="0.3">
      <c r="A52" t="str">
        <v>4150</v>
      </c>
      <c r="B52" t="str">
        <v>Clinic / Lesson Revenue</v>
      </c>
      <c r="C52" t="str">
        <v>REVENUE</v>
      </c>
      <c r="D52" t="b">
        <v>1</v>
      </c>
      <c r="E52">
        <v>-1</v>
      </c>
      <c r="F52">
        <v>1</v>
      </c>
      <c r="G52" s="14" cm="1">
        <f t="array" aca="1" ref="G52" ca="1">IFERROR(IF(D52,_xldudf_SCOTT_GL(OrgId,A52,0,YearStart-1),0)*F52,0)</f>
        <v>91</v>
      </c>
      <c r="H52" s="14">
        <f ca="1">IFERROR(SUM(IF(D52,_xldudf_SCOTT_GL(OrgId,A52,YearStart,PeriodEnd),_xldudf_SCOTT_GL(OrgId,A52,0,PeriodEnd)),IF(A52=XreCode,$G$5,0)),0)</f>
        <v>560</v>
      </c>
      <c r="I52" s="34">
        <f t="shared" ca="1" si="0"/>
        <v>0</v>
      </c>
      <c r="J52" s="34">
        <f t="shared" ca="1" si="1"/>
        <v>560</v>
      </c>
      <c r="K52" s="34">
        <f t="shared" ca="1" si="2"/>
        <v>-560</v>
      </c>
      <c r="N52">
        <v>4</v>
      </c>
      <c r="R52" s="3" cm="1">
        <f t="array" aca="1" ref="R52" ca="1">IFERROR(_xldudf_SCOTT_GL(OrgId,O52,$P$2,$P$3),0)</f>
        <v>0</v>
      </c>
      <c r="V52" s="3" cm="1">
        <f t="array" aca="1" ref="V52" ca="1">IFERROR(_xldudf_SCOTT_GL(OrgId,S52,$P$2,$P$3),0)</f>
        <v>0</v>
      </c>
    </row>
    <row r="53" spans="1:22" x14ac:dyDescent="0.3">
      <c r="A53" t="str">
        <v>4200</v>
      </c>
      <c r="B53" t="str">
        <v>Member Donations - Operations</v>
      </c>
      <c r="C53" t="str">
        <v>REVENUE</v>
      </c>
      <c r="D53" t="b">
        <v>1</v>
      </c>
      <c r="E53">
        <v>-1</v>
      </c>
      <c r="F53">
        <v>1</v>
      </c>
      <c r="G53" s="14" cm="1">
        <f t="array" aca="1" ref="G53" ca="1">IFERROR(IF(D53,_xldudf_SCOTT_GL(OrgId,A53,0,YearStart-1),0)*F53,0)</f>
        <v>32639.96</v>
      </c>
      <c r="H53" s="14">
        <f ca="1">IFERROR(SUM(IF(D53,_xldudf_SCOTT_GL(OrgId,A53,YearStart,PeriodEnd),_xldudf_SCOTT_GL(OrgId,A53,0,PeriodEnd)),IF(A53=XreCode,$G$5,0)),0)</f>
        <v>4222.37</v>
      </c>
      <c r="I53" s="34">
        <f t="shared" ca="1" si="0"/>
        <v>0</v>
      </c>
      <c r="J53" s="34">
        <f t="shared" ca="1" si="1"/>
        <v>4222.37</v>
      </c>
      <c r="K53" s="34">
        <f t="shared" ca="1" si="2"/>
        <v>-4222.37</v>
      </c>
      <c r="N53">
        <v>4</v>
      </c>
      <c r="R53" s="3" cm="1">
        <f t="array" aca="1" ref="R53" ca="1">IFERROR(_xldudf_SCOTT_GL(OrgId,O53,$P$2,$P$3),0)</f>
        <v>0</v>
      </c>
      <c r="V53" s="3" cm="1">
        <f t="array" aca="1" ref="V53" ca="1">IFERROR(_xldudf_SCOTT_GL(OrgId,S53,$P$2,$P$3),0)</f>
        <v>0</v>
      </c>
    </row>
    <row r="54" spans="1:22" x14ac:dyDescent="0.3">
      <c r="A54" t="str">
        <v>4201</v>
      </c>
      <c r="B54" t="str">
        <v>Member Donations - Capital</v>
      </c>
      <c r="C54" t="str">
        <v>REVENUE</v>
      </c>
      <c r="D54" t="b">
        <v>1</v>
      </c>
      <c r="E54">
        <v>-1</v>
      </c>
      <c r="F54">
        <v>1</v>
      </c>
      <c r="G54" s="14" cm="1">
        <f t="array" aca="1" ref="G54" ca="1">IFERROR(IF(D54,_xldudf_SCOTT_GL(OrgId,A54,0,YearStart-1),0)*F54,0)</f>
        <v>12435</v>
      </c>
      <c r="H54" s="14">
        <f ca="1">IFERROR(SUM(IF(D54,_xldudf_SCOTT_GL(OrgId,A54,YearStart,PeriodEnd),_xldudf_SCOTT_GL(OrgId,A54,0,PeriodEnd)),IF(A54=XreCode,$G$5,0)),0)</f>
        <v>0</v>
      </c>
      <c r="I54" s="34">
        <f t="shared" ca="1" si="0"/>
        <v>0</v>
      </c>
      <c r="J54" s="34">
        <f t="shared" ca="1" si="1"/>
        <v>0</v>
      </c>
      <c r="K54" s="34">
        <f t="shared" ca="1" si="2"/>
        <v>0</v>
      </c>
      <c r="N54">
        <v>4</v>
      </c>
      <c r="R54" s="3" cm="1">
        <f t="array" aca="1" ref="R54" ca="1">IFERROR(_xldudf_SCOTT_GL(OrgId,O54,$P$2,$P$3),0)</f>
        <v>0</v>
      </c>
      <c r="V54" s="3" cm="1">
        <f t="array" aca="1" ref="V54" ca="1">IFERROR(_xldudf_SCOTT_GL(OrgId,S54,$P$2,$P$3),0)</f>
        <v>0</v>
      </c>
    </row>
    <row r="55" spans="1:22" x14ac:dyDescent="0.3">
      <c r="A55" t="str">
        <v>4202</v>
      </c>
      <c r="B55" t="str">
        <v>Member Donations - EOY Staff Bonus</v>
      </c>
      <c r="C55" t="str">
        <v>REVENUE</v>
      </c>
      <c r="D55" t="b">
        <v>1</v>
      </c>
      <c r="E55">
        <v>-1</v>
      </c>
      <c r="F55">
        <v>1</v>
      </c>
      <c r="G55" s="14" cm="1">
        <f t="array" aca="1" ref="G55" ca="1">IFERROR(IF(D55,_xldudf_SCOTT_GL(OrgId,A55,0,YearStart-1),0)*F55,0)</f>
        <v>0</v>
      </c>
      <c r="H55" s="14">
        <f ca="1">IFERROR(SUM(IF(D55,_xldudf_SCOTT_GL(OrgId,A55,YearStart,PeriodEnd),_xldudf_SCOTT_GL(OrgId,A55,0,PeriodEnd)),IF(A55=XreCode,$G$5,0)),0)</f>
        <v>1255</v>
      </c>
      <c r="I55" s="34">
        <f t="shared" ca="1" si="0"/>
        <v>0</v>
      </c>
      <c r="J55" s="34">
        <f t="shared" ca="1" si="1"/>
        <v>1255</v>
      </c>
      <c r="K55" s="34">
        <f t="shared" ca="1" si="2"/>
        <v>-1255</v>
      </c>
      <c r="N55">
        <v>4</v>
      </c>
      <c r="R55" s="3" cm="1">
        <f t="array" aca="1" ref="R55" ca="1">IFERROR(_xldudf_SCOTT_GL(OrgId,O55,$P$2,$P$3),0)</f>
        <v>0</v>
      </c>
      <c r="V55" s="3" cm="1">
        <f t="array" aca="1" ref="V55" ca="1">IFERROR(_xldudf_SCOTT_GL(OrgId,S55,$P$2,$P$3),0)</f>
        <v>0</v>
      </c>
    </row>
    <row r="56" spans="1:22" x14ac:dyDescent="0.3">
      <c r="A56" t="str">
        <v>4500</v>
      </c>
      <c r="B56" t="str">
        <v>Merchandise Sales</v>
      </c>
      <c r="C56" t="str">
        <v>REVENUE</v>
      </c>
      <c r="D56" t="b">
        <v>1</v>
      </c>
      <c r="E56">
        <v>-1</v>
      </c>
      <c r="F56">
        <v>1</v>
      </c>
      <c r="G56" s="14" cm="1">
        <f t="array" aca="1" ref="G56" ca="1">IFERROR(IF(D56,_xldudf_SCOTT_GL(OrgId,A56,0,YearStart-1),0)*F56,0)</f>
        <v>1088.78</v>
      </c>
      <c r="H56" s="14">
        <f ca="1">IFERROR(SUM(IF(D56,_xldudf_SCOTT_GL(OrgId,A56,YearStart,PeriodEnd),_xldudf_SCOTT_GL(OrgId,A56,0,PeriodEnd)),IF(A56=XreCode,$G$5,0)),0)</f>
        <v>0</v>
      </c>
      <c r="I56" s="34">
        <f t="shared" ca="1" si="0"/>
        <v>0</v>
      </c>
      <c r="J56" s="34">
        <f t="shared" ca="1" si="1"/>
        <v>0</v>
      </c>
      <c r="K56" s="34">
        <f t="shared" ca="1" si="2"/>
        <v>0</v>
      </c>
      <c r="N56">
        <v>4</v>
      </c>
      <c r="R56" s="3" cm="1">
        <f t="array" aca="1" ref="R56" ca="1">IFERROR(_xldudf_SCOTT_GL(OrgId,O56,$P$2,$P$3),0)</f>
        <v>0</v>
      </c>
      <c r="V56" s="3" cm="1">
        <f t="array" aca="1" ref="V56" ca="1">IFERROR(_xldudf_SCOTT_GL(OrgId,S56,$P$2,$P$3),0)</f>
        <v>0</v>
      </c>
    </row>
    <row r="57" spans="1:22" x14ac:dyDescent="0.3">
      <c r="A57" t="str">
        <v>4600</v>
      </c>
      <c r="B57" t="str">
        <v>Food Sales</v>
      </c>
      <c r="C57" t="str">
        <v>REVENUE</v>
      </c>
      <c r="D57" t="b">
        <v>1</v>
      </c>
      <c r="E57">
        <v>-1</v>
      </c>
      <c r="F57">
        <v>1</v>
      </c>
      <c r="G57" s="14" cm="1">
        <f t="array" aca="1" ref="G57" ca="1">IFERROR(IF(D57,_xldudf_SCOTT_GL(OrgId,A57,0,YearStart-1),0)*F57,0)</f>
        <v>0</v>
      </c>
      <c r="H57" s="14">
        <f ca="1">IFERROR(SUM(IF(D57,_xldudf_SCOTT_GL(OrgId,A57,YearStart,PeriodEnd),_xldudf_SCOTT_GL(OrgId,A57,0,PeriodEnd)),IF(A57=XreCode,$G$5,0)),0)</f>
        <v>0</v>
      </c>
      <c r="I57" s="34">
        <f t="shared" ca="1" si="0"/>
        <v>0</v>
      </c>
      <c r="J57" s="34">
        <f t="shared" ca="1" si="1"/>
        <v>0</v>
      </c>
      <c r="K57" s="34">
        <f t="shared" ca="1" si="2"/>
        <v>0</v>
      </c>
      <c r="N57">
        <v>4</v>
      </c>
      <c r="R57" s="3" cm="1">
        <f t="array" aca="1" ref="R57" ca="1">IFERROR(_xldudf_SCOTT_GL(OrgId,O57,$P$2,$P$3),0)</f>
        <v>0</v>
      </c>
      <c r="V57" s="3" cm="1">
        <f t="array" aca="1" ref="V57" ca="1">IFERROR(_xldudf_SCOTT_GL(OrgId,S57,$P$2,$P$3),0)</f>
        <v>0</v>
      </c>
    </row>
    <row r="58" spans="1:22" x14ac:dyDescent="0.3">
      <c r="A58" t="str">
        <v>4610</v>
      </c>
      <c r="B58" t="str">
        <v>Beverage Sales</v>
      </c>
      <c r="C58" t="str">
        <v>REVENUE</v>
      </c>
      <c r="D58" t="b">
        <v>1</v>
      </c>
      <c r="E58">
        <v>-1</v>
      </c>
      <c r="F58">
        <v>1</v>
      </c>
      <c r="G58" s="14" cm="1">
        <f t="array" aca="1" ref="G58" ca="1">IFERROR(IF(D58,_xldudf_SCOTT_GL(OrgId,A58,0,YearStart-1),0)*F58,0)</f>
        <v>0</v>
      </c>
      <c r="H58" s="14">
        <f ca="1">IFERROR(SUM(IF(D58,_xldudf_SCOTT_GL(OrgId,A58,YearStart,PeriodEnd),_xldudf_SCOTT_GL(OrgId,A58,0,PeriodEnd)),IF(A58=XreCode,$G$5,0)),0)</f>
        <v>0</v>
      </c>
      <c r="I58" s="34">
        <f t="shared" ca="1" si="0"/>
        <v>0</v>
      </c>
      <c r="J58" s="34">
        <f t="shared" ca="1" si="1"/>
        <v>0</v>
      </c>
      <c r="K58" s="34">
        <f t="shared" ca="1" si="2"/>
        <v>0</v>
      </c>
      <c r="N58">
        <v>4</v>
      </c>
      <c r="R58" s="3" cm="1">
        <f t="array" aca="1" ref="R58" ca="1">IFERROR(_xldudf_SCOTT_GL(OrgId,O58,$P$2,$P$3),0)</f>
        <v>0</v>
      </c>
      <c r="V58" s="3" cm="1">
        <f t="array" aca="1" ref="V58" ca="1">IFERROR(_xldudf_SCOTT_GL(OrgId,S58,$P$2,$P$3),0)</f>
        <v>0</v>
      </c>
    </row>
    <row r="59" spans="1:22" x14ac:dyDescent="0.3">
      <c r="A59" t="str">
        <v>4800</v>
      </c>
      <c r="B59" t="str">
        <v>Other Revenue</v>
      </c>
      <c r="C59" t="str">
        <v>REVENUE</v>
      </c>
      <c r="D59" t="b">
        <v>1</v>
      </c>
      <c r="E59">
        <v>-1</v>
      </c>
      <c r="F59">
        <v>1</v>
      </c>
      <c r="G59" s="14" cm="1">
        <f t="array" aca="1" ref="G59" ca="1">IFERROR(IF(D59,_xldudf_SCOTT_GL(OrgId,A59,0,YearStart-1),0)*F59,0)</f>
        <v>4769.47</v>
      </c>
      <c r="H59" s="14">
        <f ca="1">IFERROR(SUM(IF(D59,_xldudf_SCOTT_GL(OrgId,A59,YearStart,PeriodEnd),_xldudf_SCOTT_GL(OrgId,A59,0,PeriodEnd)),IF(A59=XreCode,$G$5,0)),0)</f>
        <v>841.86</v>
      </c>
      <c r="I59" s="34">
        <f t="shared" ca="1" si="0"/>
        <v>0</v>
      </c>
      <c r="J59" s="34">
        <f t="shared" ca="1" si="1"/>
        <v>841.86</v>
      </c>
      <c r="K59" s="34">
        <f t="shared" ca="1" si="2"/>
        <v>-841.86</v>
      </c>
      <c r="N59">
        <v>4</v>
      </c>
      <c r="R59" s="3" cm="1">
        <f t="array" aca="1" ref="R59" ca="1">IFERROR(_xldudf_SCOTT_GL(OrgId,O59,$P$2,$P$3),0)</f>
        <v>0</v>
      </c>
      <c r="V59" s="3" cm="1">
        <f t="array" aca="1" ref="V59" ca="1">IFERROR(_xldudf_SCOTT_GL(OrgId,S59,$P$2,$P$3),0)</f>
        <v>0</v>
      </c>
    </row>
    <row r="60" spans="1:22" x14ac:dyDescent="0.3">
      <c r="A60" t="str">
        <v>4900</v>
      </c>
      <c r="B60" t="str">
        <v>Interest Income</v>
      </c>
      <c r="C60" t="str">
        <v>REVENUE</v>
      </c>
      <c r="D60" t="b">
        <v>1</v>
      </c>
      <c r="E60">
        <v>-1</v>
      </c>
      <c r="F60">
        <v>1</v>
      </c>
      <c r="G60" s="14" cm="1">
        <f t="array" aca="1" ref="G60" ca="1">IFERROR(IF(D60,_xldudf_SCOTT_GL(OrgId,A60,0,YearStart-1),0)*F60,0)</f>
        <v>32.869999999999997</v>
      </c>
      <c r="H60" s="14">
        <f ca="1">IFERROR(SUM(IF(D60,_xldudf_SCOTT_GL(OrgId,A60,YearStart,PeriodEnd),_xldudf_SCOTT_GL(OrgId,A60,0,PeriodEnd)),IF(A60=XreCode,$G$5,0)),0)</f>
        <v>0</v>
      </c>
      <c r="I60" s="34">
        <f t="shared" ca="1" si="0"/>
        <v>0</v>
      </c>
      <c r="J60" s="34">
        <f t="shared" ca="1" si="1"/>
        <v>0</v>
      </c>
      <c r="K60" s="34">
        <f t="shared" ca="1" si="2"/>
        <v>0</v>
      </c>
      <c r="N60">
        <v>4</v>
      </c>
      <c r="R60" s="3" cm="1">
        <f t="array" aca="1" ref="R60" ca="1">IFERROR(_xldudf_SCOTT_GL(OrgId,O60,$P$2,$P$3),0)</f>
        <v>0</v>
      </c>
      <c r="V60" s="3" cm="1">
        <f t="array" aca="1" ref="V60" ca="1">IFERROR(_xldudf_SCOTT_GL(OrgId,S60,$P$2,$P$3),0)</f>
        <v>0</v>
      </c>
    </row>
    <row r="61" spans="1:22" x14ac:dyDescent="0.3">
      <c r="A61" t="str">
        <v>5100</v>
      </c>
      <c r="B61" t="str">
        <v>Cost of Goods Sold</v>
      </c>
      <c r="C61" t="str">
        <v>DIRECTCOSTS</v>
      </c>
      <c r="D61" t="b">
        <v>1</v>
      </c>
      <c r="E61">
        <v>1</v>
      </c>
      <c r="F61">
        <v>-1</v>
      </c>
      <c r="G61" s="14" cm="1">
        <f t="array" aca="1" ref="G61" ca="1">IFERROR(IF(D61,_xldudf_SCOTT_GL(OrgId,A61,0,YearStart-1),0)*F61,0)</f>
        <v>-822.38</v>
      </c>
      <c r="H61" s="14">
        <f ca="1">IFERROR(SUM(IF(D61,_xldudf_SCOTT_GL(OrgId,A61,YearStart,PeriodEnd),_xldudf_SCOTT_GL(OrgId,A61,0,PeriodEnd)),IF(A61=XreCode,$G$5,0)),0)</f>
        <v>0</v>
      </c>
      <c r="I61" s="34">
        <f t="shared" ca="1" si="0"/>
        <v>0</v>
      </c>
      <c r="J61" s="34">
        <f t="shared" ca="1" si="1"/>
        <v>0</v>
      </c>
      <c r="K61" s="34">
        <f t="shared" ca="1" si="2"/>
        <v>0</v>
      </c>
      <c r="N61">
        <v>5</v>
      </c>
      <c r="R61" s="3" cm="1">
        <f t="array" aca="1" ref="R61" ca="1">IFERROR(_xldudf_SCOTT_GL(OrgId,O61,$P$2,$P$3),0)</f>
        <v>0</v>
      </c>
      <c r="V61" s="3" cm="1">
        <f t="array" aca="1" ref="V61" ca="1">IFERROR(_xldudf_SCOTT_GL(OrgId,S61,$P$2,$P$3),0)</f>
        <v>0</v>
      </c>
    </row>
    <row r="62" spans="1:22" x14ac:dyDescent="0.3">
      <c r="A62" t="str">
        <v>5200</v>
      </c>
      <c r="B62" t="str">
        <v>Salaries &amp; Wages</v>
      </c>
      <c r="C62" t="str">
        <v>EXPENSE</v>
      </c>
      <c r="D62" t="b">
        <v>1</v>
      </c>
      <c r="E62">
        <v>1</v>
      </c>
      <c r="F62">
        <v>-1</v>
      </c>
      <c r="G62" s="14" cm="1">
        <f t="array" aca="1" ref="G62" ca="1">IFERROR(IF(D62,_xldudf_SCOTT_GL(OrgId,A62,0,YearStart-1),0)*F62,0)</f>
        <v>-153191.22</v>
      </c>
      <c r="H62" s="14">
        <f ca="1">IFERROR(SUM(IF(D62,_xldudf_SCOTT_GL(OrgId,A62,YearStart,PeriodEnd),_xldudf_SCOTT_GL(OrgId,A62,0,PeriodEnd)),IF(A62=XreCode,$G$5,0)),0)</f>
        <v>21532.61</v>
      </c>
      <c r="I62" s="34">
        <f t="shared" ca="1" si="0"/>
        <v>21532.61</v>
      </c>
      <c r="J62" s="34">
        <f t="shared" ca="1" si="1"/>
        <v>0</v>
      </c>
      <c r="K62" s="34">
        <f t="shared" ca="1" si="2"/>
        <v>21532.61</v>
      </c>
      <c r="N62">
        <v>5</v>
      </c>
      <c r="R62" s="3" cm="1">
        <f t="array" aca="1" ref="R62" ca="1">IFERROR(_xldudf_SCOTT_GL(OrgId,O62,$P$2,$P$3),0)</f>
        <v>0</v>
      </c>
      <c r="V62" s="3" cm="1">
        <f t="array" aca="1" ref="V62" ca="1">IFERROR(_xldudf_SCOTT_GL(OrgId,S62,$P$2,$P$3),0)</f>
        <v>0</v>
      </c>
    </row>
    <row r="63" spans="1:22" x14ac:dyDescent="0.3">
      <c r="A63" t="str">
        <v>5201</v>
      </c>
      <c r="B63" t="str">
        <v>Labor + some payroll taxes</v>
      </c>
      <c r="C63" t="str">
        <v>EXPENSE</v>
      </c>
      <c r="D63" t="b">
        <v>1</v>
      </c>
      <c r="E63">
        <v>1</v>
      </c>
      <c r="F63">
        <v>-1</v>
      </c>
      <c r="G63" s="14" cm="1">
        <f t="array" aca="1" ref="G63" ca="1">IFERROR(IF(D63,_xldudf_SCOTT_GL(OrgId,A63,0,YearStart-1),0)*F63,0)</f>
        <v>-11629.3</v>
      </c>
      <c r="H63" s="14">
        <f ca="1">IFERROR(SUM(IF(D63,_xldudf_SCOTT_GL(OrgId,A63,YearStart,PeriodEnd),_xldudf_SCOTT_GL(OrgId,A63,0,PeriodEnd)),IF(A63=XreCode,$G$5,0)),0)</f>
        <v>0</v>
      </c>
      <c r="I63" s="34">
        <f t="shared" ca="1" si="0"/>
        <v>0</v>
      </c>
      <c r="J63" s="34">
        <f t="shared" ca="1" si="1"/>
        <v>0</v>
      </c>
      <c r="K63" s="34">
        <f t="shared" ca="1" si="2"/>
        <v>0</v>
      </c>
      <c r="N63">
        <v>5</v>
      </c>
      <c r="R63" s="3" cm="1">
        <f t="array" aca="1" ref="R63" ca="1">IFERROR(_xldudf_SCOTT_GL(OrgId,O63,$P$2,$P$3),0)</f>
        <v>0</v>
      </c>
      <c r="V63" s="3" cm="1">
        <f t="array" aca="1" ref="V63" ca="1">IFERROR(_xldudf_SCOTT_GL(OrgId,S63,$P$2,$P$3),0)</f>
        <v>0</v>
      </c>
    </row>
    <row r="64" spans="1:22" x14ac:dyDescent="0.3">
      <c r="A64" t="str">
        <v>5202</v>
      </c>
      <c r="B64" t="str">
        <v>Payroll Taxes</v>
      </c>
      <c r="C64" t="str">
        <v>EXPENSE</v>
      </c>
      <c r="D64" t="b">
        <v>1</v>
      </c>
      <c r="E64">
        <v>1</v>
      </c>
      <c r="F64">
        <v>-1</v>
      </c>
      <c r="G64" s="14" cm="1">
        <f t="array" aca="1" ref="G64" ca="1">IFERROR(IF(D64,_xldudf_SCOTT_GL(OrgId,A64,0,YearStart-1),0)*F64,0)</f>
        <v>-8819.5300000000007</v>
      </c>
      <c r="H64" s="14">
        <f ca="1">IFERROR(SUM(IF(D64,_xldudf_SCOTT_GL(OrgId,A64,YearStart,PeriodEnd),_xldudf_SCOTT_GL(OrgId,A64,0,PeriodEnd)),IF(A64=XreCode,$G$5,0)),0)</f>
        <v>519.48</v>
      </c>
      <c r="I64" s="34">
        <f t="shared" ca="1" si="0"/>
        <v>519.48</v>
      </c>
      <c r="J64" s="34">
        <f t="shared" ca="1" si="1"/>
        <v>0</v>
      </c>
      <c r="K64" s="34">
        <f t="shared" ca="1" si="2"/>
        <v>519.48</v>
      </c>
      <c r="N64">
        <v>5</v>
      </c>
      <c r="R64" s="3" cm="1">
        <f t="array" aca="1" ref="R64" ca="1">IFERROR(_xldudf_SCOTT_GL(OrgId,O64,$P$2,$P$3),0)</f>
        <v>0</v>
      </c>
      <c r="V64" s="3" cm="1">
        <f t="array" aca="1" ref="V64" ca="1">IFERROR(_xldudf_SCOTT_GL(OrgId,S64,$P$2,$P$3),0)</f>
        <v>0</v>
      </c>
    </row>
    <row r="65" spans="1:22" x14ac:dyDescent="0.3">
      <c r="A65" t="str">
        <v>5250</v>
      </c>
      <c r="B65" t="str">
        <v>EOY Staff Bonus</v>
      </c>
      <c r="C65" t="str">
        <v>EXPENSE</v>
      </c>
      <c r="D65" t="b">
        <v>1</v>
      </c>
      <c r="E65">
        <v>1</v>
      </c>
      <c r="F65">
        <v>-1</v>
      </c>
      <c r="G65" s="14" cm="1">
        <f t="array" aca="1" ref="G65" ca="1">IFERROR(IF(D65,_xldudf_SCOTT_GL(OrgId,A65,0,YearStart-1),0)*F65,0)</f>
        <v>0</v>
      </c>
      <c r="H65" s="14">
        <f ca="1">IFERROR(SUM(IF(D65,_xldudf_SCOTT_GL(OrgId,A65,YearStart,PeriodEnd),_xldudf_SCOTT_GL(OrgId,A65,0,PeriodEnd)),IF(A65=XreCode,$G$5,0)),0)</f>
        <v>1255</v>
      </c>
      <c r="I65" s="34">
        <f t="shared" ca="1" si="0"/>
        <v>1255</v>
      </c>
      <c r="J65" s="34">
        <f t="shared" ca="1" si="1"/>
        <v>0</v>
      </c>
      <c r="K65" s="34">
        <f t="shared" ca="1" si="2"/>
        <v>1255</v>
      </c>
      <c r="N65">
        <v>5</v>
      </c>
      <c r="R65" s="3" cm="1">
        <f t="array" aca="1" ref="R65" ca="1">IFERROR(_xldudf_SCOTT_GL(OrgId,O65,$P$2,$P$3),0)</f>
        <v>0</v>
      </c>
      <c r="V65" s="3" cm="1">
        <f t="array" aca="1" ref="V65" ca="1">IFERROR(_xldudf_SCOTT_GL(OrgId,S65,$P$2,$P$3),0)</f>
        <v>0</v>
      </c>
    </row>
    <row r="66" spans="1:22" x14ac:dyDescent="0.3">
      <c r="A66" t="str">
        <v>5300</v>
      </c>
      <c r="B66" t="str">
        <v>Court Maintenance</v>
      </c>
      <c r="C66" t="str">
        <v>EXPENSE</v>
      </c>
      <c r="D66" t="b">
        <v>1</v>
      </c>
      <c r="E66">
        <v>1</v>
      </c>
      <c r="F66">
        <v>-1</v>
      </c>
      <c r="G66" s="14" cm="1">
        <f t="array" aca="1" ref="G66" ca="1">IFERROR(IF(D66,_xldudf_SCOTT_GL(OrgId,A66,0,YearStart-1),0)*F66,0)</f>
        <v>-89135.8</v>
      </c>
      <c r="H66" s="14">
        <f ca="1">IFERROR(SUM(IF(D66,_xldudf_SCOTT_GL(OrgId,A66,YearStart,PeriodEnd),_xldudf_SCOTT_GL(OrgId,A66,0,PeriodEnd)),IF(A66=XreCode,$G$5,0)),0)</f>
        <v>13900.66</v>
      </c>
      <c r="I66" s="34">
        <f t="shared" ca="1" si="0"/>
        <v>13900.66</v>
      </c>
      <c r="J66" s="34">
        <f t="shared" ca="1" si="1"/>
        <v>0</v>
      </c>
      <c r="K66" s="34">
        <f t="shared" ca="1" si="2"/>
        <v>13900.66</v>
      </c>
      <c r="N66">
        <v>5</v>
      </c>
      <c r="R66" s="3" cm="1">
        <f t="array" aca="1" ref="R66" ca="1">IFERROR(_xldudf_SCOTT_GL(OrgId,O66,$P$2,$P$3),0)</f>
        <v>0</v>
      </c>
      <c r="V66" s="3" cm="1">
        <f t="array" aca="1" ref="V66" ca="1">IFERROR(_xldudf_SCOTT_GL(OrgId,S66,$P$2,$P$3),0)</f>
        <v>0</v>
      </c>
    </row>
    <row r="67" spans="1:22" x14ac:dyDescent="0.3">
      <c r="A67" t="str">
        <v>5301</v>
      </c>
      <c r="B67" t="str">
        <v>Building Maintenance</v>
      </c>
      <c r="C67" t="str">
        <v>EXPENSE</v>
      </c>
      <c r="D67" t="b">
        <v>1</v>
      </c>
      <c r="E67">
        <v>1</v>
      </c>
      <c r="F67">
        <v>-1</v>
      </c>
      <c r="G67" s="14" cm="1">
        <f t="array" aca="1" ref="G67" ca="1">IFERROR(IF(D67,_xldudf_SCOTT_GL(OrgId,A67,0,YearStart-1),0)*F67,0)</f>
        <v>-24708.55</v>
      </c>
      <c r="H67" s="14">
        <f ca="1">IFERROR(SUM(IF(D67,_xldudf_SCOTT_GL(OrgId,A67,YearStart,PeriodEnd),_xldudf_SCOTT_GL(OrgId,A67,0,PeriodEnd)),IF(A67=XreCode,$G$5,0)),0)</f>
        <v>5686.6</v>
      </c>
      <c r="I67" s="34">
        <f t="shared" ca="1" si="0"/>
        <v>5686.6</v>
      </c>
      <c r="J67" s="34">
        <f t="shared" ca="1" si="1"/>
        <v>0</v>
      </c>
      <c r="K67" s="34">
        <f t="shared" ca="1" si="2"/>
        <v>5686.6</v>
      </c>
      <c r="N67">
        <v>5</v>
      </c>
      <c r="R67" s="3" cm="1">
        <f t="array" aca="1" ref="R67" ca="1">IFERROR(_xldudf_SCOTT_GL(OrgId,O67,$P$2,$P$3),0)</f>
        <v>0</v>
      </c>
      <c r="V67" s="3" cm="1">
        <f t="array" aca="1" ref="V67" ca="1">IFERROR(_xldudf_SCOTT_GL(OrgId,S67,$P$2,$P$3),0)</f>
        <v>0</v>
      </c>
    </row>
    <row r="68" spans="1:22" x14ac:dyDescent="0.3">
      <c r="A68" t="str">
        <v>5302</v>
      </c>
      <c r="B68" t="str">
        <v>Operating Supplies</v>
      </c>
      <c r="C68" t="str">
        <v>EXPENSE</v>
      </c>
      <c r="D68" t="b">
        <v>1</v>
      </c>
      <c r="E68">
        <v>1</v>
      </c>
      <c r="F68">
        <v>-1</v>
      </c>
      <c r="G68" s="14" cm="1">
        <f t="array" aca="1" ref="G68" ca="1">IFERROR(IF(D68,_xldudf_SCOTT_GL(OrgId,A68,0,YearStart-1),0)*F68,0)</f>
        <v>-3901.61</v>
      </c>
      <c r="H68" s="14">
        <f ca="1">IFERROR(SUM(IF(D68,_xldudf_SCOTT_GL(OrgId,A68,YearStart,PeriodEnd),_xldudf_SCOTT_GL(OrgId,A68,0,PeriodEnd)),IF(A68=XreCode,$G$5,0)),0)</f>
        <v>346.15</v>
      </c>
      <c r="I68" s="34">
        <f t="shared" ca="1" si="0"/>
        <v>346.15</v>
      </c>
      <c r="J68" s="34">
        <f t="shared" ca="1" si="1"/>
        <v>0</v>
      </c>
      <c r="K68" s="34">
        <f t="shared" ca="1" si="2"/>
        <v>346.15</v>
      </c>
      <c r="N68">
        <v>5</v>
      </c>
      <c r="R68" s="3" cm="1">
        <f t="array" aca="1" ref="R68" ca="1">IFERROR(_xldudf_SCOTT_GL(OrgId,O68,$P$2,$P$3),0)</f>
        <v>0</v>
      </c>
      <c r="V68" s="3" cm="1">
        <f t="array" aca="1" ref="V68" ca="1">IFERROR(_xldudf_SCOTT_GL(OrgId,S68,$P$2,$P$3),0)</f>
        <v>0</v>
      </c>
    </row>
    <row r="69" spans="1:22" x14ac:dyDescent="0.3">
      <c r="A69" t="str">
        <v>5304</v>
      </c>
      <c r="B69" t="str">
        <v>Postage &amp; Delivery</v>
      </c>
      <c r="C69" t="str">
        <v>EXPENSE</v>
      </c>
      <c r="D69" t="b">
        <v>1</v>
      </c>
      <c r="E69">
        <v>1</v>
      </c>
      <c r="F69">
        <v>-1</v>
      </c>
      <c r="G69" s="14" cm="1">
        <f t="array" aca="1" ref="G69" ca="1">IFERROR(IF(D69,_xldudf_SCOTT_GL(OrgId,A69,0,YearStart-1),0)*F69,0)</f>
        <v>-418.23</v>
      </c>
      <c r="H69" s="14">
        <f ca="1">IFERROR(SUM(IF(D69,_xldudf_SCOTT_GL(OrgId,A69,YearStart,PeriodEnd),_xldudf_SCOTT_GL(OrgId,A69,0,PeriodEnd)),IF(A69=XreCode,$G$5,0)),0)</f>
        <v>0</v>
      </c>
      <c r="I69" s="34">
        <f t="shared" ca="1" si="0"/>
        <v>0</v>
      </c>
      <c r="J69" s="34">
        <f t="shared" ca="1" si="1"/>
        <v>0</v>
      </c>
      <c r="K69" s="34">
        <f t="shared" ca="1" si="2"/>
        <v>0</v>
      </c>
      <c r="N69">
        <v>5</v>
      </c>
      <c r="R69" s="3" cm="1">
        <f t="array" aca="1" ref="R69" ca="1">IFERROR(_xldudf_SCOTT_GL(OrgId,O69,$P$2,$P$3),0)</f>
        <v>0</v>
      </c>
      <c r="V69" s="3" cm="1">
        <f t="array" aca="1" ref="V69" ca="1">IFERROR(_xldudf_SCOTT_GL(OrgId,S69,$P$2,$P$3),0)</f>
        <v>0</v>
      </c>
    </row>
    <row r="70" spans="1:22" x14ac:dyDescent="0.3">
      <c r="A70" t="str">
        <v>5310</v>
      </c>
      <c r="B70" t="str">
        <v>Food Purchases</v>
      </c>
      <c r="C70" t="str">
        <v>EXPENSE</v>
      </c>
      <c r="D70" t="b">
        <v>1</v>
      </c>
      <c r="E70">
        <v>1</v>
      </c>
      <c r="F70">
        <v>-1</v>
      </c>
      <c r="G70" s="14" cm="1">
        <f t="array" aca="1" ref="G70" ca="1">IFERROR(IF(D70,_xldudf_SCOTT_GL(OrgId,A70,0,YearStart-1),0)*F70,0)</f>
        <v>0</v>
      </c>
      <c r="H70" s="14">
        <f ca="1">IFERROR(SUM(IF(D70,_xldudf_SCOTT_GL(OrgId,A70,YearStart,PeriodEnd),_xldudf_SCOTT_GL(OrgId,A70,0,PeriodEnd)),IF(A70=XreCode,$G$5,0)),0)</f>
        <v>63</v>
      </c>
      <c r="I70" s="34">
        <f t="shared" ca="1" si="0"/>
        <v>63</v>
      </c>
      <c r="J70" s="34">
        <f t="shared" ca="1" si="1"/>
        <v>0</v>
      </c>
      <c r="K70" s="34">
        <f t="shared" ca="1" si="2"/>
        <v>63</v>
      </c>
      <c r="N70">
        <v>5</v>
      </c>
      <c r="R70" s="3" cm="1">
        <f t="array" aca="1" ref="R70" ca="1">IFERROR(_xldudf_SCOTT_GL(OrgId,O70,$P$2,$P$3),0)</f>
        <v>0</v>
      </c>
      <c r="V70" s="3" cm="1">
        <f t="array" aca="1" ref="V70" ca="1">IFERROR(_xldudf_SCOTT_GL(OrgId,S70,$P$2,$P$3),0)</f>
        <v>0</v>
      </c>
    </row>
    <row r="71" spans="1:22" x14ac:dyDescent="0.3">
      <c r="A71" t="str">
        <v>5320</v>
      </c>
      <c r="B71" t="str">
        <v>Beverage Purchase</v>
      </c>
      <c r="C71" t="str">
        <v>EXPENSE</v>
      </c>
      <c r="D71" t="b">
        <v>1</v>
      </c>
      <c r="E71">
        <v>1</v>
      </c>
      <c r="F71">
        <v>-1</v>
      </c>
      <c r="G71" s="14" cm="1">
        <f t="array" aca="1" ref="G71" ca="1">IFERROR(IF(D71,_xldudf_SCOTT_GL(OrgId,A71,0,YearStart-1),0)*F71,0)</f>
        <v>0</v>
      </c>
      <c r="H71" s="14">
        <f ca="1">IFERROR(SUM(IF(D71,_xldudf_SCOTT_GL(OrgId,A71,YearStart,PeriodEnd),_xldudf_SCOTT_GL(OrgId,A71,0,PeriodEnd)),IF(A71=XreCode,$G$5,0)),0)</f>
        <v>6</v>
      </c>
      <c r="I71" s="34">
        <f t="shared" ca="1" si="0"/>
        <v>6</v>
      </c>
      <c r="J71" s="34">
        <f t="shared" ca="1" si="1"/>
        <v>0</v>
      </c>
      <c r="K71" s="34">
        <f t="shared" ca="1" si="2"/>
        <v>6</v>
      </c>
      <c r="N71">
        <v>5</v>
      </c>
      <c r="R71" s="3" cm="1">
        <f t="array" aca="1" ref="R71" ca="1">IFERROR(_xldudf_SCOTT_GL(OrgId,O71,$P$2,$P$3),0)</f>
        <v>0</v>
      </c>
      <c r="V71" s="3" cm="1">
        <f t="array" aca="1" ref="V71" ca="1">IFERROR(_xldudf_SCOTT_GL(OrgId,S71,$P$2,$P$3),0)</f>
        <v>0</v>
      </c>
    </row>
    <row r="72" spans="1:22" x14ac:dyDescent="0.3">
      <c r="A72" t="str">
        <v>5400</v>
      </c>
      <c r="B72" t="str">
        <v>Utilities - Electric &amp; Gas</v>
      </c>
      <c r="C72" t="str">
        <v>EXPENSE</v>
      </c>
      <c r="D72" t="b">
        <v>1</v>
      </c>
      <c r="E72">
        <v>1</v>
      </c>
      <c r="F72">
        <v>-1</v>
      </c>
      <c r="G72" s="14" cm="1">
        <f t="array" aca="1" ref="G72" ca="1">IFERROR(IF(D72,_xldudf_SCOTT_GL(OrgId,A72,0,YearStart-1),0)*F72,0)</f>
        <v>-6715.66</v>
      </c>
      <c r="H72" s="14">
        <f ca="1">IFERROR(SUM(IF(D72,_xldudf_SCOTT_GL(OrgId,A72,YearStart,PeriodEnd),_xldudf_SCOTT_GL(OrgId,A72,0,PeriodEnd)),IF(A72=XreCode,$G$5,0)),0)</f>
        <v>463.82</v>
      </c>
      <c r="I72" s="34">
        <f t="shared" ca="1" si="0"/>
        <v>463.82</v>
      </c>
      <c r="J72" s="34">
        <f t="shared" ca="1" si="1"/>
        <v>0</v>
      </c>
      <c r="K72" s="34">
        <f t="shared" ca="1" si="2"/>
        <v>463.82</v>
      </c>
      <c r="N72">
        <v>5</v>
      </c>
      <c r="R72" s="3" cm="1">
        <f t="array" aca="1" ref="R72" ca="1">IFERROR(_xldudf_SCOTT_GL(OrgId,O72,$P$2,$P$3),0)</f>
        <v>0</v>
      </c>
      <c r="V72" s="3" cm="1">
        <f t="array" aca="1" ref="V72" ca="1">IFERROR(_xldudf_SCOTT_GL(OrgId,S72,$P$2,$P$3),0)</f>
        <v>0</v>
      </c>
    </row>
    <row r="73" spans="1:22" x14ac:dyDescent="0.3">
      <c r="A73" t="str">
        <v>5401</v>
      </c>
      <c r="B73" t="str">
        <v>Utilities - Telephone &amp; Internet</v>
      </c>
      <c r="C73" t="str">
        <v>EXPENSE</v>
      </c>
      <c r="D73" t="b">
        <v>1</v>
      </c>
      <c r="E73">
        <v>1</v>
      </c>
      <c r="F73">
        <v>-1</v>
      </c>
      <c r="G73" s="14" cm="1">
        <f t="array" aca="1" ref="G73" ca="1">IFERROR(IF(D73,_xldudf_SCOTT_GL(OrgId,A73,0,YearStart-1),0)*F73,0)</f>
        <v>-4575.28</v>
      </c>
      <c r="H73" s="14">
        <f ca="1">IFERROR(SUM(IF(D73,_xldudf_SCOTT_GL(OrgId,A73,YearStart,PeriodEnd),_xldudf_SCOTT_GL(OrgId,A73,0,PeriodEnd)),IF(A73=XreCode,$G$5,0)),0)</f>
        <v>444.83</v>
      </c>
      <c r="I73" s="34">
        <f t="shared" ref="I73:I136" ca="1" si="3">IF(K73&gt;0,K73,0)</f>
        <v>444.83</v>
      </c>
      <c r="J73" s="34">
        <f t="shared" ref="J73:J136" ca="1" si="4">IF(K73&lt;0,-K73,0)</f>
        <v>0</v>
      </c>
      <c r="K73" s="34">
        <f t="shared" ref="K73:K136" ca="1" si="5">E73*H73</f>
        <v>444.83</v>
      </c>
      <c r="N73">
        <v>5</v>
      </c>
      <c r="R73" s="3" cm="1">
        <f t="array" aca="1" ref="R73" ca="1">IFERROR(_xldudf_SCOTT_GL(OrgId,O73,$P$2,$P$3),0)</f>
        <v>0</v>
      </c>
      <c r="V73" s="3" cm="1">
        <f t="array" aca="1" ref="V73" ca="1">IFERROR(_xldudf_SCOTT_GL(OrgId,S73,$P$2,$P$3),0)</f>
        <v>0</v>
      </c>
    </row>
    <row r="74" spans="1:22" x14ac:dyDescent="0.3">
      <c r="A74" t="str">
        <v>5402</v>
      </c>
      <c r="B74" t="str">
        <v>Utilities - Water &amp; Sewer</v>
      </c>
      <c r="C74" t="str">
        <v>EXPENSE</v>
      </c>
      <c r="D74" t="b">
        <v>1</v>
      </c>
      <c r="E74">
        <v>1</v>
      </c>
      <c r="F74">
        <v>-1</v>
      </c>
      <c r="G74" s="14" cm="1">
        <f t="array" aca="1" ref="G74" ca="1">IFERROR(IF(D74,_xldudf_SCOTT_GL(OrgId,A74,0,YearStart-1),0)*F74,0)</f>
        <v>-39128.19</v>
      </c>
      <c r="H74" s="14">
        <f ca="1">IFERROR(SUM(IF(D74,_xldudf_SCOTT_GL(OrgId,A74,YearStart,PeriodEnd),_xldudf_SCOTT_GL(OrgId,A74,0,PeriodEnd)),IF(A74=XreCode,$G$5,0)),0)</f>
        <v>5136.67</v>
      </c>
      <c r="I74" s="34">
        <f t="shared" ca="1" si="3"/>
        <v>5136.67</v>
      </c>
      <c r="J74" s="34">
        <f t="shared" ca="1" si="4"/>
        <v>0</v>
      </c>
      <c r="K74" s="34">
        <f t="shared" ca="1" si="5"/>
        <v>5136.67</v>
      </c>
      <c r="N74">
        <v>5</v>
      </c>
      <c r="R74" s="3" cm="1">
        <f t="array" aca="1" ref="R74" ca="1">IFERROR(_xldudf_SCOTT_GL(OrgId,O74,$P$2,$P$3),0)</f>
        <v>0</v>
      </c>
      <c r="V74" s="3" cm="1">
        <f t="array" aca="1" ref="V74" ca="1">IFERROR(_xldudf_SCOTT_GL(OrgId,S74,$P$2,$P$3),0)</f>
        <v>0</v>
      </c>
    </row>
    <row r="75" spans="1:22" x14ac:dyDescent="0.3">
      <c r="A75" t="str">
        <v>5403</v>
      </c>
      <c r="B75" t="str">
        <v>Utilities - Trash Removal</v>
      </c>
      <c r="C75" t="str">
        <v>EXPENSE</v>
      </c>
      <c r="D75" t="b">
        <v>1</v>
      </c>
      <c r="E75">
        <v>1</v>
      </c>
      <c r="F75">
        <v>-1</v>
      </c>
      <c r="G75" s="14" cm="1">
        <f t="array" aca="1" ref="G75" ca="1">IFERROR(IF(D75,_xldudf_SCOTT_GL(OrgId,A75,0,YearStart-1),0)*F75,0)</f>
        <v>-2736.14</v>
      </c>
      <c r="H75" s="14">
        <f ca="1">IFERROR(SUM(IF(D75,_xldudf_SCOTT_GL(OrgId,A75,YearStart,PeriodEnd),_xldudf_SCOTT_GL(OrgId,A75,0,PeriodEnd)),IF(A75=XreCode,$G$5,0)),0)</f>
        <v>0</v>
      </c>
      <c r="I75" s="34">
        <f t="shared" ca="1" si="3"/>
        <v>0</v>
      </c>
      <c r="J75" s="34">
        <f t="shared" ca="1" si="4"/>
        <v>0</v>
      </c>
      <c r="K75" s="34">
        <f t="shared" ca="1" si="5"/>
        <v>0</v>
      </c>
      <c r="N75">
        <v>5</v>
      </c>
      <c r="R75" s="3" cm="1">
        <f t="array" aca="1" ref="R75" ca="1">IFERROR(_xldudf_SCOTT_GL(OrgId,O75,$P$2,$P$3),0)</f>
        <v>0</v>
      </c>
      <c r="V75" s="3" cm="1">
        <f t="array" aca="1" ref="V75" ca="1">IFERROR(_xldudf_SCOTT_GL(OrgId,S75,$P$2,$P$3),0)</f>
        <v>0</v>
      </c>
    </row>
    <row r="76" spans="1:22" x14ac:dyDescent="0.3">
      <c r="A76" t="str">
        <v>5500</v>
      </c>
      <c r="B76" t="str">
        <v>Marketing / Web Hosting</v>
      </c>
      <c r="C76" t="str">
        <v>EXPENSE</v>
      </c>
      <c r="D76" t="b">
        <v>1</v>
      </c>
      <c r="E76">
        <v>1</v>
      </c>
      <c r="F76">
        <v>-1</v>
      </c>
      <c r="G76" s="14" cm="1">
        <f t="array" aca="1" ref="G76" ca="1">IFERROR(IF(D76,_xldudf_SCOTT_GL(OrgId,A76,0,YearStart-1),0)*F76,0)</f>
        <v>-1142.3599999999999</v>
      </c>
      <c r="H76" s="14">
        <f ca="1">IFERROR(SUM(IF(D76,_xldudf_SCOTT_GL(OrgId,A76,YearStart,PeriodEnd),_xldudf_SCOTT_GL(OrgId,A76,0,PeriodEnd)),IF(A76=XreCode,$G$5,0)),0)</f>
        <v>680.24</v>
      </c>
      <c r="I76" s="34">
        <f t="shared" ca="1" si="3"/>
        <v>680.24</v>
      </c>
      <c r="J76" s="34">
        <f t="shared" ca="1" si="4"/>
        <v>0</v>
      </c>
      <c r="K76" s="34">
        <f t="shared" ca="1" si="5"/>
        <v>680.24</v>
      </c>
      <c r="N76">
        <v>5</v>
      </c>
      <c r="R76" s="3" cm="1">
        <f t="array" aca="1" ref="R76" ca="1">IFERROR(_xldudf_SCOTT_GL(OrgId,O76,$P$2,$P$3),0)</f>
        <v>0</v>
      </c>
      <c r="V76" s="3" cm="1">
        <f t="array" aca="1" ref="V76" ca="1">IFERROR(_xldudf_SCOTT_GL(OrgId,S76,$P$2,$P$3),0)</f>
        <v>0</v>
      </c>
    </row>
    <row r="77" spans="1:22" x14ac:dyDescent="0.3">
      <c r="A77" t="str">
        <v>5501</v>
      </c>
      <c r="B77" t="str">
        <v>Signage</v>
      </c>
      <c r="C77" t="str">
        <v>EXPENSE</v>
      </c>
      <c r="D77" t="b">
        <v>1</v>
      </c>
      <c r="E77">
        <v>1</v>
      </c>
      <c r="F77">
        <v>-1</v>
      </c>
      <c r="G77" s="14" cm="1">
        <f t="array" aca="1" ref="G77" ca="1">IFERROR(IF(D77,_xldudf_SCOTT_GL(OrgId,A77,0,YearStart-1),0)*F77,0)</f>
        <v>-265.02999999999997</v>
      </c>
      <c r="H77" s="14">
        <f ca="1">IFERROR(SUM(IF(D77,_xldudf_SCOTT_GL(OrgId,A77,YearStart,PeriodEnd),_xldudf_SCOTT_GL(OrgId,A77,0,PeriodEnd)),IF(A77=XreCode,$G$5,0)),0)</f>
        <v>0</v>
      </c>
      <c r="I77" s="34">
        <f t="shared" ca="1" si="3"/>
        <v>0</v>
      </c>
      <c r="J77" s="34">
        <f t="shared" ca="1" si="4"/>
        <v>0</v>
      </c>
      <c r="K77" s="34">
        <f t="shared" ca="1" si="5"/>
        <v>0</v>
      </c>
      <c r="N77">
        <v>5</v>
      </c>
      <c r="R77" s="3" cm="1">
        <f t="array" aca="1" ref="R77" ca="1">IFERROR(_xldudf_SCOTT_GL(OrgId,O77,$P$2,$P$3),0)</f>
        <v>0</v>
      </c>
      <c r="V77" s="3" cm="1">
        <f t="array" aca="1" ref="V77" ca="1">IFERROR(_xldudf_SCOTT_GL(OrgId,S77,$P$2,$P$3),0)</f>
        <v>0</v>
      </c>
    </row>
    <row r="78" spans="1:22" x14ac:dyDescent="0.3">
      <c r="A78" t="str">
        <v>5502</v>
      </c>
      <c r="B78" t="str">
        <v>Payment Discounts</v>
      </c>
      <c r="C78" t="str">
        <v>EXPENSE</v>
      </c>
      <c r="D78" t="b">
        <v>1</v>
      </c>
      <c r="E78">
        <v>1</v>
      </c>
      <c r="F78">
        <v>-1</v>
      </c>
      <c r="G78" s="14" cm="1">
        <f t="array" aca="1" ref="G78" ca="1">IFERROR(IF(D78,_xldudf_SCOTT_GL(OrgId,A78,0,YearStart-1),0)*F78,0)</f>
        <v>13.06</v>
      </c>
      <c r="H78" s="14">
        <f ca="1">IFERROR(SUM(IF(D78,_xldudf_SCOTT_GL(OrgId,A78,YearStart,PeriodEnd),_xldudf_SCOTT_GL(OrgId,A78,0,PeriodEnd)),IF(A78=XreCode,$G$5,0)),0)</f>
        <v>0</v>
      </c>
      <c r="I78" s="34">
        <f t="shared" ca="1" si="3"/>
        <v>0</v>
      </c>
      <c r="J78" s="34">
        <f t="shared" ca="1" si="4"/>
        <v>0</v>
      </c>
      <c r="K78" s="34">
        <f t="shared" ca="1" si="5"/>
        <v>0</v>
      </c>
      <c r="N78">
        <v>5</v>
      </c>
      <c r="R78" s="3" cm="1">
        <f t="array" aca="1" ref="R78" ca="1">IFERROR(_xldudf_SCOTT_GL(OrgId,O78,$P$2,$P$3),0)</f>
        <v>0</v>
      </c>
      <c r="V78" s="3" cm="1">
        <f t="array" aca="1" ref="V78" ca="1">IFERROR(_xldudf_SCOTT_GL(OrgId,S78,$P$2,$P$3),0)</f>
        <v>0</v>
      </c>
    </row>
    <row r="79" spans="1:22" x14ac:dyDescent="0.3">
      <c r="A79" t="str">
        <v>5600</v>
      </c>
      <c r="B79" t="str">
        <v>Project Expenses</v>
      </c>
      <c r="C79" t="str">
        <v>EXPENSE</v>
      </c>
      <c r="D79" t="b">
        <v>1</v>
      </c>
      <c r="E79">
        <v>1</v>
      </c>
      <c r="F79">
        <v>-1</v>
      </c>
      <c r="G79" s="14" cm="1">
        <f t="array" aca="1" ref="G79" ca="1">IFERROR(IF(D79,_xldudf_SCOTT_GL(OrgId,A79,0,YearStart-1),0)*F79,0)</f>
        <v>0</v>
      </c>
      <c r="H79" s="14">
        <f ca="1">IFERROR(SUM(IF(D79,_xldudf_SCOTT_GL(OrgId,A79,YearStart,PeriodEnd),_xldudf_SCOTT_GL(OrgId,A79,0,PeriodEnd)),IF(A79=XreCode,$G$5,0)),0)</f>
        <v>0</v>
      </c>
      <c r="I79" s="34">
        <f t="shared" ca="1" si="3"/>
        <v>0</v>
      </c>
      <c r="J79" s="34">
        <f t="shared" ca="1" si="4"/>
        <v>0</v>
      </c>
      <c r="K79" s="34">
        <f t="shared" ca="1" si="5"/>
        <v>0</v>
      </c>
      <c r="N79">
        <v>5</v>
      </c>
      <c r="R79" s="3" cm="1">
        <f t="array" aca="1" ref="R79" ca="1">IFERROR(_xldudf_SCOTT_GL(OrgId,O79,$P$2,$P$3),0)</f>
        <v>0</v>
      </c>
      <c r="V79" s="3" cm="1">
        <f t="array" aca="1" ref="V79" ca="1">IFERROR(_xldudf_SCOTT_GL(OrgId,S79,$P$2,$P$3),0)</f>
        <v>0</v>
      </c>
    </row>
    <row r="80" spans="1:22" x14ac:dyDescent="0.3">
      <c r="A80" t="str">
        <v>5601</v>
      </c>
      <c r="B80" t="str">
        <v>Porch Furniture</v>
      </c>
      <c r="C80" t="str">
        <v>EXPENSE</v>
      </c>
      <c r="D80" t="b">
        <v>1</v>
      </c>
      <c r="E80">
        <v>1</v>
      </c>
      <c r="F80">
        <v>-1</v>
      </c>
      <c r="G80" s="14" cm="1">
        <f t="array" aca="1" ref="G80" ca="1">IFERROR(IF(D80,_xldudf_SCOTT_GL(OrgId,A80,0,YearStart-1),0)*F80,0)</f>
        <v>0</v>
      </c>
      <c r="H80" s="14">
        <f ca="1">IFERROR(SUM(IF(D80,_xldudf_SCOTT_GL(OrgId,A80,YearStart,PeriodEnd),_xldudf_SCOTT_GL(OrgId,A80,0,PeriodEnd)),IF(A80=XreCode,$G$5,0)),0)</f>
        <v>4864.5</v>
      </c>
      <c r="I80" s="34">
        <f t="shared" ca="1" si="3"/>
        <v>4864.5</v>
      </c>
      <c r="J80" s="34">
        <f t="shared" ca="1" si="4"/>
        <v>0</v>
      </c>
      <c r="K80" s="34">
        <f t="shared" ca="1" si="5"/>
        <v>4864.5</v>
      </c>
      <c r="N80">
        <v>5</v>
      </c>
      <c r="R80" s="3" cm="1">
        <f t="array" aca="1" ref="R80" ca="1">IFERROR(_xldudf_SCOTT_GL(OrgId,O80,$P$2,$P$3),0)</f>
        <v>0</v>
      </c>
      <c r="V80" s="3" cm="1">
        <f t="array" aca="1" ref="V80" ca="1">IFERROR(_xldudf_SCOTT_GL(OrgId,S80,$P$2,$P$3),0)</f>
        <v>0</v>
      </c>
    </row>
    <row r="81" spans="1:22" x14ac:dyDescent="0.3">
      <c r="A81" t="str">
        <v>5602</v>
      </c>
      <c r="B81" t="str">
        <v>Gable and Roof Repair</v>
      </c>
      <c r="C81" t="str">
        <v>EXPENSE</v>
      </c>
      <c r="D81" t="b">
        <v>1</v>
      </c>
      <c r="E81">
        <v>1</v>
      </c>
      <c r="F81">
        <v>-1</v>
      </c>
      <c r="G81" s="14" cm="1">
        <f t="array" aca="1" ref="G81" ca="1">IFERROR(IF(D81,_xldudf_SCOTT_GL(OrgId,A81,0,YearStart-1),0)*F81,0)</f>
        <v>0</v>
      </c>
      <c r="H81" s="14">
        <f ca="1">IFERROR(SUM(IF(D81,_xldudf_SCOTT_GL(OrgId,A81,YearStart,PeriodEnd),_xldudf_SCOTT_GL(OrgId,A81,0,PeriodEnd)),IF(A81=XreCode,$G$5,0)),0)</f>
        <v>2000</v>
      </c>
      <c r="I81" s="34">
        <f t="shared" ca="1" si="3"/>
        <v>2000</v>
      </c>
      <c r="J81" s="34">
        <f t="shared" ca="1" si="4"/>
        <v>0</v>
      </c>
      <c r="K81" s="34">
        <f t="shared" ca="1" si="5"/>
        <v>2000</v>
      </c>
      <c r="N81">
        <v>5</v>
      </c>
      <c r="R81" s="3" cm="1">
        <f t="array" aca="1" ref="R81" ca="1">IFERROR(_xldudf_SCOTT_GL(OrgId,O81,$P$2,$P$3),0)</f>
        <v>0</v>
      </c>
      <c r="V81" s="3" cm="1">
        <f t="array" aca="1" ref="V81" ca="1">IFERROR(_xldudf_SCOTT_GL(OrgId,S81,$P$2,$P$3),0)</f>
        <v>0</v>
      </c>
    </row>
    <row r="82" spans="1:22" x14ac:dyDescent="0.3">
      <c r="A82" t="str">
        <v>6000</v>
      </c>
      <c r="B82" t="str">
        <v>Property Taxes</v>
      </c>
      <c r="C82" t="str">
        <v>EXPENSE</v>
      </c>
      <c r="D82" t="b">
        <v>1</v>
      </c>
      <c r="E82">
        <v>1</v>
      </c>
      <c r="F82">
        <v>-1</v>
      </c>
      <c r="G82" s="14" cm="1">
        <f t="array" aca="1" ref="G82" ca="1">IFERROR(IF(D82,_xldudf_SCOTT_GL(OrgId,A82,0,YearStart-1),0)*F82,0)</f>
        <v>-90101.36</v>
      </c>
      <c r="H82" s="14">
        <f ca="1">IFERROR(SUM(IF(D82,_xldudf_SCOTT_GL(OrgId,A82,YearStart,PeriodEnd),_xldudf_SCOTT_GL(OrgId,A82,0,PeriodEnd)),IF(A82=XreCode,$G$5,0)),0)</f>
        <v>12304.97</v>
      </c>
      <c r="I82" s="34">
        <f t="shared" ca="1" si="3"/>
        <v>12304.97</v>
      </c>
      <c r="J82" s="34">
        <f t="shared" ca="1" si="4"/>
        <v>0</v>
      </c>
      <c r="K82" s="34">
        <f t="shared" ca="1" si="5"/>
        <v>12304.97</v>
      </c>
      <c r="N82">
        <v>5</v>
      </c>
      <c r="R82" s="3" cm="1">
        <f t="array" aca="1" ref="R82" ca="1">IFERROR(_xldudf_SCOTT_GL(OrgId,O82,$P$2,$P$3),0)</f>
        <v>0</v>
      </c>
      <c r="V82" s="3" cm="1">
        <f t="array" aca="1" ref="V82" ca="1">IFERROR(_xldudf_SCOTT_GL(OrgId,S82,$P$2,$P$3),0)</f>
        <v>0</v>
      </c>
    </row>
    <row r="83" spans="1:22" x14ac:dyDescent="0.3">
      <c r="A83" t="str">
        <v>6100</v>
      </c>
      <c r="B83" t="str">
        <v>Insurance</v>
      </c>
      <c r="C83" t="str">
        <v>EXPENSE</v>
      </c>
      <c r="D83" t="b">
        <v>1</v>
      </c>
      <c r="E83">
        <v>1</v>
      </c>
      <c r="F83">
        <v>-1</v>
      </c>
      <c r="G83" s="14" cm="1">
        <f t="array" aca="1" ref="G83" ca="1">IFERROR(IF(D83,_xldudf_SCOTT_GL(OrgId,A83,0,YearStart-1),0)*F83,0)</f>
        <v>-22155</v>
      </c>
      <c r="H83" s="14">
        <f ca="1">IFERROR(SUM(IF(D83,_xldudf_SCOTT_GL(OrgId,A83,YearStart,PeriodEnd),_xldudf_SCOTT_GL(OrgId,A83,0,PeriodEnd)),IF(A83=XreCode,$G$5,0)),0)</f>
        <v>3468</v>
      </c>
      <c r="I83" s="34">
        <f t="shared" ca="1" si="3"/>
        <v>3468</v>
      </c>
      <c r="J83" s="34">
        <f t="shared" ca="1" si="4"/>
        <v>0</v>
      </c>
      <c r="K83" s="34">
        <f t="shared" ca="1" si="5"/>
        <v>3468</v>
      </c>
      <c r="N83">
        <v>5</v>
      </c>
      <c r="R83" s="3" cm="1">
        <f t="array" aca="1" ref="R83" ca="1">IFERROR(_xldudf_SCOTT_GL(OrgId,O83,$P$2,$P$3),0)</f>
        <v>0</v>
      </c>
      <c r="V83" s="3" cm="1">
        <f t="array" aca="1" ref="V83" ca="1">IFERROR(_xldudf_SCOTT_GL(OrgId,S83,$P$2,$P$3),0)</f>
        <v>0</v>
      </c>
    </row>
    <row r="84" spans="1:22" x14ac:dyDescent="0.3">
      <c r="A84" t="str">
        <v>6200</v>
      </c>
      <c r="B84" t="str">
        <v>Ohio Sales Taxes</v>
      </c>
      <c r="C84" t="str">
        <v>EXPENSE</v>
      </c>
      <c r="D84" t="b">
        <v>1</v>
      </c>
      <c r="E84">
        <v>1</v>
      </c>
      <c r="F84">
        <v>-1</v>
      </c>
      <c r="G84" s="14" cm="1">
        <f t="array" aca="1" ref="G84" ca="1">IFERROR(IF(D84,_xldudf_SCOTT_GL(OrgId,A84,0,YearStart-1),0)*F84,0)</f>
        <v>-2351.4899999999998</v>
      </c>
      <c r="H84" s="14">
        <f ca="1">IFERROR(SUM(IF(D84,_xldudf_SCOTT_GL(OrgId,A84,YearStart,PeriodEnd),_xldudf_SCOTT_GL(OrgId,A84,0,PeriodEnd)),IF(A84=XreCode,$G$5,0)),0)</f>
        <v>0</v>
      </c>
      <c r="I84" s="34">
        <f t="shared" ca="1" si="3"/>
        <v>0</v>
      </c>
      <c r="J84" s="34">
        <f t="shared" ca="1" si="4"/>
        <v>0</v>
      </c>
      <c r="K84" s="34">
        <f t="shared" ca="1" si="5"/>
        <v>0</v>
      </c>
      <c r="N84">
        <v>5</v>
      </c>
      <c r="R84" s="3" cm="1">
        <f t="array" aca="1" ref="R84" ca="1">IFERROR(_xldudf_SCOTT_GL(OrgId,O84,$P$2,$P$3),0)</f>
        <v>0</v>
      </c>
      <c r="V84" s="3" cm="1">
        <f t="array" aca="1" ref="V84" ca="1">IFERROR(_xldudf_SCOTT_GL(OrgId,S84,$P$2,$P$3),0)</f>
        <v>0</v>
      </c>
    </row>
    <row r="85" spans="1:22" x14ac:dyDescent="0.3">
      <c r="A85" t="str">
        <v>7000</v>
      </c>
      <c r="B85" t="str">
        <v>Depreciation &amp; Amortization</v>
      </c>
      <c r="C85" t="str">
        <v>DEPRECIATN</v>
      </c>
      <c r="D85" t="b">
        <v>1</v>
      </c>
      <c r="E85">
        <v>1</v>
      </c>
      <c r="F85">
        <v>-1</v>
      </c>
      <c r="G85" s="14" cm="1">
        <f t="array" aca="1" ref="G85" ca="1">IFERROR(IF(D85,_xldudf_SCOTT_GL(OrgId,A85,0,YearStart-1),0)*F85,0)</f>
        <v>-3910</v>
      </c>
      <c r="H85" s="14">
        <f ca="1">IFERROR(SUM(IF(D85,_xldudf_SCOTT_GL(OrgId,A85,YearStart,PeriodEnd),_xldudf_SCOTT_GL(OrgId,A85,0,PeriodEnd)),IF(A85=XreCode,$G$5,0)),0)</f>
        <v>0</v>
      </c>
      <c r="I85" s="34">
        <f t="shared" ca="1" si="3"/>
        <v>0</v>
      </c>
      <c r="J85" s="34">
        <f t="shared" ca="1" si="4"/>
        <v>0</v>
      </c>
      <c r="K85" s="34">
        <f t="shared" ca="1" si="5"/>
        <v>0</v>
      </c>
      <c r="N85">
        <v>5</v>
      </c>
      <c r="R85" s="3" cm="1">
        <f t="array" aca="1" ref="R85" ca="1">IFERROR(_xldudf_SCOTT_GL(OrgId,O85,$P$2,$P$3),0)</f>
        <v>0</v>
      </c>
      <c r="V85" s="3" cm="1">
        <f t="array" aca="1" ref="V85" ca="1">IFERROR(_xldudf_SCOTT_GL(OrgId,S85,$P$2,$P$3),0)</f>
        <v>0</v>
      </c>
    </row>
    <row r="86" spans="1:22" x14ac:dyDescent="0.3">
      <c r="A86" t="str">
        <v>9900</v>
      </c>
      <c r="B86" t="str">
        <v>Driveway Repair</v>
      </c>
      <c r="C86" t="str">
        <v>EXPENSE</v>
      </c>
      <c r="D86" t="b">
        <v>1</v>
      </c>
      <c r="E86">
        <v>1</v>
      </c>
      <c r="F86">
        <v>-1</v>
      </c>
      <c r="G86" s="14" cm="1">
        <f t="array" aca="1" ref="G86" ca="1">IFERROR(IF(D86,_xldudf_SCOTT_GL(OrgId,A86,0,YearStart-1),0)*F86,0)</f>
        <v>-330</v>
      </c>
      <c r="H86" s="14">
        <f ca="1">IFERROR(SUM(IF(D86,_xldudf_SCOTT_GL(OrgId,A86,YearStart,PeriodEnd),_xldudf_SCOTT_GL(OrgId,A86,0,PeriodEnd)),IF(A86=XreCode,$G$5,0)),0)</f>
        <v>0</v>
      </c>
      <c r="I86" s="34">
        <f t="shared" ca="1" si="3"/>
        <v>0</v>
      </c>
      <c r="J86" s="34">
        <f t="shared" ca="1" si="4"/>
        <v>0</v>
      </c>
      <c r="K86" s="34">
        <f t="shared" ca="1" si="5"/>
        <v>0</v>
      </c>
      <c r="N86">
        <v>5</v>
      </c>
      <c r="R86" s="3" cm="1">
        <f t="array" aca="1" ref="R86" ca="1">IFERROR(_xldudf_SCOTT_GL(OrgId,O86,$P$2,$P$3),0)</f>
        <v>0</v>
      </c>
      <c r="V86" s="3" cm="1">
        <f t="array" aca="1" ref="V86" ca="1">IFERROR(_xldudf_SCOTT_GL(OrgId,S86,$P$2,$P$3),0)</f>
        <v>0</v>
      </c>
    </row>
    <row r="87" spans="1:22" x14ac:dyDescent="0.3">
      <c r="G87" s="14" cm="1">
        <f t="array" ref="G87">IFERROR(IF(D87,_xldudf_SCOTT_GL(OrgId,A87,0,YearStart-1),0)*F87,0)</f>
        <v>0</v>
      </c>
      <c r="H87" s="14">
        <f ca="1">IFERROR(SUM(IF(D87,_xldudf_SCOTT_GL(OrgId,A87,YearStart,PeriodEnd),_xldudf_SCOTT_GL(OrgId,A87,0,PeriodEnd)),IF(A87=XreCode,$G$5,0)),0)</f>
        <v>0</v>
      </c>
      <c r="I87" s="34">
        <f t="shared" ca="1" si="3"/>
        <v>0</v>
      </c>
      <c r="J87" s="34">
        <f t="shared" ca="1" si="4"/>
        <v>0</v>
      </c>
      <c r="K87" s="34">
        <f t="shared" ca="1" si="5"/>
        <v>0</v>
      </c>
      <c r="R87" s="3" cm="1">
        <f t="array" aca="1" ref="R87" ca="1">IFERROR(_xldudf_SCOTT_GL(OrgId,O87,$P$2,$P$3),0)</f>
        <v>0</v>
      </c>
      <c r="V87" s="3" cm="1">
        <f t="array" aca="1" ref="V87" ca="1">IFERROR(_xldudf_SCOTT_GL(OrgId,S87,$P$2,$P$3),0)</f>
        <v>0</v>
      </c>
    </row>
    <row r="88" spans="1:22" x14ac:dyDescent="0.3">
      <c r="G88" s="14" cm="1">
        <f t="array" ref="G88">IFERROR(IF(D88,_xldudf_SCOTT_GL(OrgId,A88,0,YearStart-1),0)*F88,0)</f>
        <v>0</v>
      </c>
      <c r="H88" s="14">
        <f ca="1">IFERROR(SUM(IF(D88,_xldudf_SCOTT_GL(OrgId,A88,YearStart,PeriodEnd),_xldudf_SCOTT_GL(OrgId,A88,0,PeriodEnd)),IF(A88=XreCode,$G$5,0)),0)</f>
        <v>0</v>
      </c>
      <c r="I88" s="34">
        <f t="shared" ca="1" si="3"/>
        <v>0</v>
      </c>
      <c r="J88" s="34">
        <f t="shared" ca="1" si="4"/>
        <v>0</v>
      </c>
      <c r="K88" s="34">
        <f t="shared" ca="1" si="5"/>
        <v>0</v>
      </c>
      <c r="R88" s="3" cm="1">
        <f t="array" aca="1" ref="R88" ca="1">IFERROR(_xldudf_SCOTT_GL(OrgId,O88,$P$2,$P$3),0)</f>
        <v>0</v>
      </c>
      <c r="V88" s="3" cm="1">
        <f t="array" aca="1" ref="V88" ca="1">IFERROR(_xldudf_SCOTT_GL(OrgId,S88,$P$2,$P$3),0)</f>
        <v>0</v>
      </c>
    </row>
    <row r="89" spans="1:22" x14ac:dyDescent="0.3">
      <c r="G89" s="14" cm="1">
        <f t="array" ref="G89">IFERROR(IF(D89,_xldudf_SCOTT_GL(OrgId,A89,0,YearStart-1),0)*F89,0)</f>
        <v>0</v>
      </c>
      <c r="H89" s="14">
        <f ca="1">IFERROR(SUM(IF(D89,_xldudf_SCOTT_GL(OrgId,A89,YearStart,PeriodEnd),_xldudf_SCOTT_GL(OrgId,A89,0,PeriodEnd)),IF(A89=XreCode,$G$5,0)),0)</f>
        <v>0</v>
      </c>
      <c r="I89" s="34">
        <f t="shared" ca="1" si="3"/>
        <v>0</v>
      </c>
      <c r="J89" s="34">
        <f t="shared" ca="1" si="4"/>
        <v>0</v>
      </c>
      <c r="K89" s="34">
        <f t="shared" ca="1" si="5"/>
        <v>0</v>
      </c>
      <c r="R89" s="3" cm="1">
        <f t="array" aca="1" ref="R89" ca="1">IFERROR(_xldudf_SCOTT_GL(OrgId,O89,$P$2,$P$3),0)</f>
        <v>0</v>
      </c>
      <c r="V89" s="3" cm="1">
        <f t="array" aca="1" ref="V89" ca="1">IFERROR(_xldudf_SCOTT_GL(OrgId,S89,$P$2,$P$3),0)</f>
        <v>0</v>
      </c>
    </row>
    <row r="90" spans="1:22" x14ac:dyDescent="0.3">
      <c r="G90" s="14" cm="1">
        <f t="array" ref="G90">IFERROR(IF(D90,_xldudf_SCOTT_GL(OrgId,A90,0,YearStart-1),0)*F90,0)</f>
        <v>0</v>
      </c>
      <c r="H90" s="14">
        <f ca="1">IFERROR(SUM(IF(D90,_xldudf_SCOTT_GL(OrgId,A90,YearStart,PeriodEnd),_xldudf_SCOTT_GL(OrgId,A90,0,PeriodEnd)),IF(A90=XreCode,$G$5,0)),0)</f>
        <v>0</v>
      </c>
      <c r="I90" s="34">
        <f t="shared" ca="1" si="3"/>
        <v>0</v>
      </c>
      <c r="J90" s="34">
        <f t="shared" ca="1" si="4"/>
        <v>0</v>
      </c>
      <c r="K90" s="34">
        <f t="shared" ca="1" si="5"/>
        <v>0</v>
      </c>
      <c r="R90" s="3" cm="1">
        <f t="array" aca="1" ref="R90" ca="1">IFERROR(_xldudf_SCOTT_GL(OrgId,O90,$P$2,$P$3),0)</f>
        <v>0</v>
      </c>
      <c r="V90" s="3" cm="1">
        <f t="array" aca="1" ref="V90" ca="1">IFERROR(_xldudf_SCOTT_GL(OrgId,S90,$P$2,$P$3),0)</f>
        <v>0</v>
      </c>
    </row>
    <row r="91" spans="1:22" x14ac:dyDescent="0.3">
      <c r="G91" s="14" cm="1">
        <f t="array" ref="G91">IFERROR(IF(D91,_xldudf_SCOTT_GL(OrgId,A91,0,YearStart-1),0)*F91,0)</f>
        <v>0</v>
      </c>
      <c r="H91" s="14">
        <f ca="1">IFERROR(SUM(IF(D91,_xldudf_SCOTT_GL(OrgId,A91,YearStart,PeriodEnd),_xldudf_SCOTT_GL(OrgId,A91,0,PeriodEnd)),IF(A91=XreCode,$G$5,0)),0)</f>
        <v>0</v>
      </c>
      <c r="I91" s="34">
        <f t="shared" ca="1" si="3"/>
        <v>0</v>
      </c>
      <c r="J91" s="34">
        <f t="shared" ca="1" si="4"/>
        <v>0</v>
      </c>
      <c r="K91" s="34">
        <f t="shared" ca="1" si="5"/>
        <v>0</v>
      </c>
      <c r="R91" s="3" cm="1">
        <f t="array" aca="1" ref="R91" ca="1">IFERROR(_xldudf_SCOTT_GL(OrgId,O91,$P$2,$P$3),0)</f>
        <v>0</v>
      </c>
      <c r="V91" s="3" cm="1">
        <f t="array" aca="1" ref="V91" ca="1">IFERROR(_xldudf_SCOTT_GL(OrgId,S91,$P$2,$P$3),0)</f>
        <v>0</v>
      </c>
    </row>
    <row r="92" spans="1:22" x14ac:dyDescent="0.3">
      <c r="G92" s="14" cm="1">
        <f t="array" ref="G92">IFERROR(IF(D92,_xldudf_SCOTT_GL(OrgId,A92,0,YearStart-1),0)*F92,0)</f>
        <v>0</v>
      </c>
      <c r="H92" s="14">
        <f ca="1">IFERROR(SUM(IF(D92,_xldudf_SCOTT_GL(OrgId,A92,YearStart,PeriodEnd),_xldudf_SCOTT_GL(OrgId,A92,0,PeriodEnd)),IF(A92=XreCode,$G$5,0)),0)</f>
        <v>0</v>
      </c>
      <c r="I92" s="34">
        <f t="shared" ca="1" si="3"/>
        <v>0</v>
      </c>
      <c r="J92" s="34">
        <f t="shared" ca="1" si="4"/>
        <v>0</v>
      </c>
      <c r="K92" s="34">
        <f t="shared" ca="1" si="5"/>
        <v>0</v>
      </c>
      <c r="R92" s="3" cm="1">
        <f t="array" aca="1" ref="R92" ca="1">IFERROR(_xldudf_SCOTT_GL(OrgId,O92,$P$2,$P$3),0)</f>
        <v>0</v>
      </c>
      <c r="V92" s="3" cm="1">
        <f t="array" aca="1" ref="V92" ca="1">IFERROR(_xldudf_SCOTT_GL(OrgId,S92,$P$2,$P$3),0)</f>
        <v>0</v>
      </c>
    </row>
    <row r="93" spans="1:22" x14ac:dyDescent="0.3">
      <c r="G93" s="14" cm="1">
        <f t="array" ref="G93">IFERROR(IF(D93,_xldudf_SCOTT_GL(OrgId,A93,0,YearStart-1),0)*F93,0)</f>
        <v>0</v>
      </c>
      <c r="H93" s="14">
        <f ca="1">IFERROR(SUM(IF(D93,_xldudf_SCOTT_GL(OrgId,A93,YearStart,PeriodEnd),_xldudf_SCOTT_GL(OrgId,A93,0,PeriodEnd)),IF(A93=XreCode,$G$5,0)),0)</f>
        <v>0</v>
      </c>
      <c r="I93" s="34">
        <f t="shared" ca="1" si="3"/>
        <v>0</v>
      </c>
      <c r="J93" s="34">
        <f t="shared" ca="1" si="4"/>
        <v>0</v>
      </c>
      <c r="K93" s="34">
        <f t="shared" ca="1" si="5"/>
        <v>0</v>
      </c>
      <c r="R93" s="3" cm="1">
        <f t="array" aca="1" ref="R93" ca="1">IFERROR(_xldudf_SCOTT_GL(OrgId,O93,$P$2,$P$3),0)</f>
        <v>0</v>
      </c>
      <c r="V93" s="3" cm="1">
        <f t="array" aca="1" ref="V93" ca="1">IFERROR(_xldudf_SCOTT_GL(OrgId,S93,$P$2,$P$3),0)</f>
        <v>0</v>
      </c>
    </row>
    <row r="94" spans="1:22" x14ac:dyDescent="0.3">
      <c r="G94" s="14" cm="1">
        <f t="array" ref="G94">IFERROR(IF(D94,_xldudf_SCOTT_GL(OrgId,A94,0,YearStart-1),0)*F94,0)</f>
        <v>0</v>
      </c>
      <c r="H94" s="14">
        <f ca="1">IFERROR(SUM(IF(D94,_xldudf_SCOTT_GL(OrgId,A94,YearStart,PeriodEnd),_xldudf_SCOTT_GL(OrgId,A94,0,PeriodEnd)),IF(A94=XreCode,$G$5,0)),0)</f>
        <v>0</v>
      </c>
      <c r="I94" s="34">
        <f t="shared" ca="1" si="3"/>
        <v>0</v>
      </c>
      <c r="J94" s="34">
        <f t="shared" ca="1" si="4"/>
        <v>0</v>
      </c>
      <c r="K94" s="34">
        <f t="shared" ca="1" si="5"/>
        <v>0</v>
      </c>
      <c r="R94" s="3" cm="1">
        <f t="array" aca="1" ref="R94" ca="1">IFERROR(_xldudf_SCOTT_GL(OrgId,O94,$P$2,$P$3),0)</f>
        <v>0</v>
      </c>
      <c r="V94" s="3" cm="1">
        <f t="array" aca="1" ref="V94" ca="1">IFERROR(_xldudf_SCOTT_GL(OrgId,S94,$P$2,$P$3),0)</f>
        <v>0</v>
      </c>
    </row>
    <row r="95" spans="1:22" x14ac:dyDescent="0.3">
      <c r="G95" s="14" cm="1">
        <f t="array" ref="G95">IFERROR(IF(D95,_xldudf_SCOTT_GL(OrgId,A95,0,YearStart-1),0)*F95,0)</f>
        <v>0</v>
      </c>
      <c r="H95" s="14">
        <f ca="1">IFERROR(SUM(IF(D95,_xldudf_SCOTT_GL(OrgId,A95,YearStart,PeriodEnd),_xldudf_SCOTT_GL(OrgId,A95,0,PeriodEnd)),IF(A95=XreCode,$G$5,0)),0)</f>
        <v>0</v>
      </c>
      <c r="I95" s="34">
        <f t="shared" ca="1" si="3"/>
        <v>0</v>
      </c>
      <c r="J95" s="34">
        <f t="shared" ca="1" si="4"/>
        <v>0</v>
      </c>
      <c r="K95" s="34">
        <f t="shared" ca="1" si="5"/>
        <v>0</v>
      </c>
      <c r="R95" s="3" cm="1">
        <f t="array" aca="1" ref="R95" ca="1">IFERROR(_xldudf_SCOTT_GL(OrgId,O95,$P$2,$P$3),0)</f>
        <v>0</v>
      </c>
      <c r="V95" s="3" cm="1">
        <f t="array" aca="1" ref="V95" ca="1">IFERROR(_xldudf_SCOTT_GL(OrgId,S95,$P$2,$P$3),0)</f>
        <v>0</v>
      </c>
    </row>
    <row r="96" spans="1:22" x14ac:dyDescent="0.3">
      <c r="G96" s="14" cm="1">
        <f t="array" ref="G96">IFERROR(IF(D96,_xldudf_SCOTT_GL(OrgId,A96,0,YearStart-1),0)*F96,0)</f>
        <v>0</v>
      </c>
      <c r="H96" s="14">
        <f ca="1">IFERROR(SUM(IF(D96,_xldudf_SCOTT_GL(OrgId,A96,YearStart,PeriodEnd),_xldudf_SCOTT_GL(OrgId,A96,0,PeriodEnd)),IF(A96=XreCode,$G$5,0)),0)</f>
        <v>0</v>
      </c>
      <c r="I96" s="34">
        <f t="shared" ca="1" si="3"/>
        <v>0</v>
      </c>
      <c r="J96" s="34">
        <f t="shared" ca="1" si="4"/>
        <v>0</v>
      </c>
      <c r="K96" s="34">
        <f t="shared" ca="1" si="5"/>
        <v>0</v>
      </c>
      <c r="R96" s="3" cm="1">
        <f t="array" aca="1" ref="R96" ca="1">IFERROR(_xldudf_SCOTT_GL(OrgId,O96,$P$2,$P$3),0)</f>
        <v>0</v>
      </c>
      <c r="V96" s="3" cm="1">
        <f t="array" aca="1" ref="V96" ca="1">IFERROR(_xldudf_SCOTT_GL(OrgId,S96,$P$2,$P$3),0)</f>
        <v>0</v>
      </c>
    </row>
    <row r="97" spans="7:22" x14ac:dyDescent="0.3">
      <c r="G97" s="14" cm="1">
        <f t="array" ref="G97">IFERROR(IF(D97,_xldudf_SCOTT_GL(OrgId,A97,0,YearStart-1),0)*F97,0)</f>
        <v>0</v>
      </c>
      <c r="H97" s="14">
        <f ca="1">IFERROR(SUM(IF(D97,_xldudf_SCOTT_GL(OrgId,A97,YearStart,PeriodEnd),_xldudf_SCOTT_GL(OrgId,A97,0,PeriodEnd)),IF(A97=XreCode,$G$5,0)),0)</f>
        <v>0</v>
      </c>
      <c r="I97" s="34">
        <f t="shared" ca="1" si="3"/>
        <v>0</v>
      </c>
      <c r="J97" s="34">
        <f t="shared" ca="1" si="4"/>
        <v>0</v>
      </c>
      <c r="K97" s="34">
        <f t="shared" ca="1" si="5"/>
        <v>0</v>
      </c>
      <c r="R97" s="3" cm="1">
        <f t="array" aca="1" ref="R97" ca="1">IFERROR(_xldudf_SCOTT_GL(OrgId,O97,$P$2,$P$3),0)</f>
        <v>0</v>
      </c>
      <c r="V97" s="3" cm="1">
        <f t="array" aca="1" ref="V97" ca="1">IFERROR(_xldudf_SCOTT_GL(OrgId,S97,$P$2,$P$3),0)</f>
        <v>0</v>
      </c>
    </row>
    <row r="98" spans="7:22" x14ac:dyDescent="0.3">
      <c r="G98" s="14" cm="1">
        <f t="array" ref="G98">IFERROR(IF(D98,_xldudf_SCOTT_GL(OrgId,A98,0,YearStart-1),0)*F98,0)</f>
        <v>0</v>
      </c>
      <c r="H98" s="14">
        <f ca="1">IFERROR(SUM(IF(D98,_xldudf_SCOTT_GL(OrgId,A98,YearStart,PeriodEnd),_xldudf_SCOTT_GL(OrgId,A98,0,PeriodEnd)),IF(A98=XreCode,$G$5,0)),0)</f>
        <v>0</v>
      </c>
      <c r="I98" s="34">
        <f t="shared" ca="1" si="3"/>
        <v>0</v>
      </c>
      <c r="J98" s="34">
        <f t="shared" ca="1" si="4"/>
        <v>0</v>
      </c>
      <c r="K98" s="34">
        <f t="shared" ca="1" si="5"/>
        <v>0</v>
      </c>
      <c r="R98" s="3" cm="1">
        <f t="array" aca="1" ref="R98" ca="1">IFERROR(_xldudf_SCOTT_GL(OrgId,O98,$P$2,$P$3),0)</f>
        <v>0</v>
      </c>
      <c r="V98" s="3" cm="1">
        <f t="array" aca="1" ref="V98" ca="1">IFERROR(_xldudf_SCOTT_GL(OrgId,S98,$P$2,$P$3),0)</f>
        <v>0</v>
      </c>
    </row>
    <row r="99" spans="7:22" x14ac:dyDescent="0.3">
      <c r="G99" s="14" cm="1">
        <f t="array" ref="G99">IFERROR(IF(D99,_xldudf_SCOTT_GL(OrgId,A99,0,YearStart-1),0)*F99,0)</f>
        <v>0</v>
      </c>
      <c r="H99" s="14">
        <f ca="1">IFERROR(SUM(IF(D99,_xldudf_SCOTT_GL(OrgId,A99,YearStart,PeriodEnd),_xldudf_SCOTT_GL(OrgId,A99,0,PeriodEnd)),IF(A99=XreCode,$G$5,0)),0)</f>
        <v>0</v>
      </c>
      <c r="I99" s="34">
        <f t="shared" ca="1" si="3"/>
        <v>0</v>
      </c>
      <c r="J99" s="34">
        <f t="shared" ca="1" si="4"/>
        <v>0</v>
      </c>
      <c r="K99" s="34">
        <f t="shared" ca="1" si="5"/>
        <v>0</v>
      </c>
      <c r="R99" s="3" cm="1">
        <f t="array" aca="1" ref="R99" ca="1">IFERROR(_xldudf_SCOTT_GL(OrgId,O99,$P$2,$P$3),0)</f>
        <v>0</v>
      </c>
      <c r="V99" s="3" cm="1">
        <f t="array" aca="1" ref="V99" ca="1">IFERROR(_xldudf_SCOTT_GL(OrgId,S99,$P$2,$P$3),0)</f>
        <v>0</v>
      </c>
    </row>
    <row r="100" spans="7:22" x14ac:dyDescent="0.3">
      <c r="G100" s="14" cm="1">
        <f t="array" ref="G100">IFERROR(IF(D100,_xldudf_SCOTT_GL(OrgId,A100,0,YearStart-1),0)*F100,0)</f>
        <v>0</v>
      </c>
      <c r="H100" s="14">
        <f ca="1">IFERROR(SUM(IF(D100,_xldudf_SCOTT_GL(OrgId,A100,YearStart,PeriodEnd),_xldudf_SCOTT_GL(OrgId,A100,0,PeriodEnd)),IF(A100=XreCode,$G$5,0)),0)</f>
        <v>0</v>
      </c>
      <c r="I100" s="34">
        <f t="shared" ca="1" si="3"/>
        <v>0</v>
      </c>
      <c r="J100" s="34">
        <f t="shared" ca="1" si="4"/>
        <v>0</v>
      </c>
      <c r="K100" s="34">
        <f t="shared" ca="1" si="5"/>
        <v>0</v>
      </c>
      <c r="R100" s="3" cm="1">
        <f t="array" aca="1" ref="R100" ca="1">IFERROR(_xldudf_SCOTT_GL(OrgId,O100,$P$2,$P$3),0)</f>
        <v>0</v>
      </c>
      <c r="V100" s="3" cm="1">
        <f t="array" aca="1" ref="V100" ca="1">IFERROR(_xldudf_SCOTT_GL(OrgId,S100,$P$2,$P$3),0)</f>
        <v>0</v>
      </c>
    </row>
    <row r="101" spans="7:22" x14ac:dyDescent="0.3">
      <c r="G101" s="14" cm="1">
        <f t="array" ref="G101">IFERROR(IF(D101,_xldudf_SCOTT_GL(OrgId,A101,0,YearStart-1),0)*F101,0)</f>
        <v>0</v>
      </c>
      <c r="H101" s="14">
        <f ca="1">IFERROR(SUM(IF(D101,_xldudf_SCOTT_GL(OrgId,A101,YearStart,PeriodEnd),_xldudf_SCOTT_GL(OrgId,A101,0,PeriodEnd)),IF(A101=XreCode,$G$5,0)),0)</f>
        <v>0</v>
      </c>
      <c r="I101" s="34">
        <f t="shared" ca="1" si="3"/>
        <v>0</v>
      </c>
      <c r="J101" s="34">
        <f t="shared" ca="1" si="4"/>
        <v>0</v>
      </c>
      <c r="K101" s="34">
        <f t="shared" ca="1" si="5"/>
        <v>0</v>
      </c>
    </row>
    <row r="102" spans="7:22" x14ac:dyDescent="0.3">
      <c r="G102" s="14" cm="1">
        <f t="array" ref="G102">IFERROR(IF(D102,_xldudf_SCOTT_GL(OrgId,A102,0,YearStart-1),0)*F102,0)</f>
        <v>0</v>
      </c>
      <c r="H102" s="14">
        <f ca="1">IFERROR(SUM(IF(D102,_xldudf_SCOTT_GL(OrgId,A102,YearStart,PeriodEnd),_xldudf_SCOTT_GL(OrgId,A102,0,PeriodEnd)),IF(A102=XreCode,$G$5,0)),0)</f>
        <v>0</v>
      </c>
      <c r="I102" s="34">
        <f t="shared" ca="1" si="3"/>
        <v>0</v>
      </c>
      <c r="J102" s="34">
        <f t="shared" ca="1" si="4"/>
        <v>0</v>
      </c>
      <c r="K102" s="34">
        <f t="shared" ca="1" si="5"/>
        <v>0</v>
      </c>
    </row>
    <row r="103" spans="7:22" x14ac:dyDescent="0.3">
      <c r="G103" s="14" cm="1">
        <f t="array" ref="G103">IFERROR(IF(D103,_xldudf_SCOTT_GL(OrgId,A103,0,YearStart-1),0)*F103,0)</f>
        <v>0</v>
      </c>
      <c r="H103" s="14">
        <f ca="1">IFERROR(SUM(IF(D103,_xldudf_SCOTT_GL(OrgId,A103,YearStart,PeriodEnd),_xldudf_SCOTT_GL(OrgId,A103,0,PeriodEnd)),IF(A103=XreCode,$G$5,0)),0)</f>
        <v>0</v>
      </c>
      <c r="I103" s="34">
        <f t="shared" ca="1" si="3"/>
        <v>0</v>
      </c>
      <c r="J103" s="34">
        <f t="shared" ca="1" si="4"/>
        <v>0</v>
      </c>
      <c r="K103" s="34">
        <f t="shared" ca="1" si="5"/>
        <v>0</v>
      </c>
    </row>
    <row r="104" spans="7:22" x14ac:dyDescent="0.3">
      <c r="G104" s="14" cm="1">
        <f t="array" ref="G104">IFERROR(IF(D104,_xldudf_SCOTT_GL(OrgId,A104,0,YearStart-1),0)*F104,0)</f>
        <v>0</v>
      </c>
      <c r="H104" s="14">
        <f ca="1">IFERROR(SUM(IF(D104,_xldudf_SCOTT_GL(OrgId,A104,YearStart,PeriodEnd),_xldudf_SCOTT_GL(OrgId,A104,0,PeriodEnd)),IF(A104=XreCode,$G$5,0)),0)</f>
        <v>0</v>
      </c>
      <c r="I104" s="34">
        <f t="shared" ca="1" si="3"/>
        <v>0</v>
      </c>
      <c r="J104" s="34">
        <f t="shared" ca="1" si="4"/>
        <v>0</v>
      </c>
      <c r="K104" s="34">
        <f t="shared" ca="1" si="5"/>
        <v>0</v>
      </c>
    </row>
    <row r="105" spans="7:22" x14ac:dyDescent="0.3">
      <c r="G105" s="14" cm="1">
        <f t="array" ref="G105">IFERROR(IF(D105,_xldudf_SCOTT_GL(OrgId,A105,0,YearStart-1),0)*F105,0)</f>
        <v>0</v>
      </c>
      <c r="H105" s="14">
        <f ca="1">IFERROR(SUM(IF(D105,_xldudf_SCOTT_GL(OrgId,A105,YearStart,PeriodEnd),_xldudf_SCOTT_GL(OrgId,A105,0,PeriodEnd)),IF(A105=XreCode,$G$5,0)),0)</f>
        <v>0</v>
      </c>
      <c r="I105" s="34">
        <f t="shared" ca="1" si="3"/>
        <v>0</v>
      </c>
      <c r="J105" s="34">
        <f t="shared" ca="1" si="4"/>
        <v>0</v>
      </c>
      <c r="K105" s="34">
        <f t="shared" ca="1" si="5"/>
        <v>0</v>
      </c>
    </row>
    <row r="106" spans="7:22" x14ac:dyDescent="0.3">
      <c r="G106" s="14" cm="1">
        <f t="array" ref="G106">IFERROR(IF(D106,_xldudf_SCOTT_GL(OrgId,A106,0,YearStart-1),0)*F106,0)</f>
        <v>0</v>
      </c>
      <c r="H106" s="14">
        <f ca="1">IFERROR(SUM(IF(D106,_xldudf_SCOTT_GL(OrgId,A106,YearStart,PeriodEnd),_xldudf_SCOTT_GL(OrgId,A106,0,PeriodEnd)),IF(A106=XreCode,$G$5,0)),0)</f>
        <v>0</v>
      </c>
      <c r="I106" s="34">
        <f t="shared" ca="1" si="3"/>
        <v>0</v>
      </c>
      <c r="J106" s="34">
        <f t="shared" ca="1" si="4"/>
        <v>0</v>
      </c>
      <c r="K106" s="34">
        <f t="shared" ca="1" si="5"/>
        <v>0</v>
      </c>
    </row>
    <row r="107" spans="7:22" x14ac:dyDescent="0.3">
      <c r="G107" s="14" cm="1">
        <f t="array" ref="G107">IFERROR(IF(D107,_xldudf_SCOTT_GL(OrgId,A107,0,YearStart-1),0)*F107,0)</f>
        <v>0</v>
      </c>
      <c r="H107" s="14">
        <f ca="1">IFERROR(SUM(IF(D107,_xldudf_SCOTT_GL(OrgId,A107,YearStart,PeriodEnd),_xldudf_SCOTT_GL(OrgId,A107,0,PeriodEnd)),IF(A107=XreCode,$G$5,0)),0)</f>
        <v>0</v>
      </c>
      <c r="I107" s="34">
        <f t="shared" ca="1" si="3"/>
        <v>0</v>
      </c>
      <c r="J107" s="34">
        <f t="shared" ca="1" si="4"/>
        <v>0</v>
      </c>
      <c r="K107" s="34">
        <f t="shared" ca="1" si="5"/>
        <v>0</v>
      </c>
    </row>
    <row r="108" spans="7:22" x14ac:dyDescent="0.3">
      <c r="G108" s="14" cm="1">
        <f t="array" ref="G108">IFERROR(IF(D108,_xldudf_SCOTT_GL(OrgId,A108,0,YearStart-1),0)*F108,0)</f>
        <v>0</v>
      </c>
      <c r="H108" s="14">
        <f ca="1">IFERROR(SUM(IF(D108,_xldudf_SCOTT_GL(OrgId,A108,YearStart,PeriodEnd),_xldudf_SCOTT_GL(OrgId,A108,0,PeriodEnd)),IF(A108=XreCode,$G$5,0)),0)</f>
        <v>0</v>
      </c>
      <c r="I108" s="34">
        <f t="shared" ca="1" si="3"/>
        <v>0</v>
      </c>
      <c r="J108" s="34">
        <f t="shared" ca="1" si="4"/>
        <v>0</v>
      </c>
      <c r="K108" s="34">
        <f t="shared" ca="1" si="5"/>
        <v>0</v>
      </c>
    </row>
    <row r="109" spans="7:22" x14ac:dyDescent="0.3">
      <c r="G109" s="14" cm="1">
        <f t="array" ref="G109">IFERROR(IF(D109,_xldudf_SCOTT_GL(OrgId,A109,0,YearStart-1),0)*F109,0)</f>
        <v>0</v>
      </c>
      <c r="H109" s="14">
        <f ca="1">IFERROR(SUM(IF(D109,_xldudf_SCOTT_GL(OrgId,A109,YearStart,PeriodEnd),_xldudf_SCOTT_GL(OrgId,A109,0,PeriodEnd)),IF(A109=XreCode,$G$5,0)),0)</f>
        <v>0</v>
      </c>
      <c r="I109" s="34">
        <f t="shared" ca="1" si="3"/>
        <v>0</v>
      </c>
      <c r="J109" s="34">
        <f t="shared" ca="1" si="4"/>
        <v>0</v>
      </c>
      <c r="K109" s="34">
        <f t="shared" ca="1" si="5"/>
        <v>0</v>
      </c>
    </row>
    <row r="110" spans="7:22" x14ac:dyDescent="0.3">
      <c r="G110" s="14" cm="1">
        <f t="array" ref="G110">IFERROR(IF(D110,_xldudf_SCOTT_GL(OrgId,A110,0,YearStart-1),0)*F110,0)</f>
        <v>0</v>
      </c>
      <c r="H110" s="14">
        <f ca="1">IFERROR(SUM(IF(D110,_xldudf_SCOTT_GL(OrgId,A110,YearStart,PeriodEnd),_xldudf_SCOTT_GL(OrgId,A110,0,PeriodEnd)),IF(A110=XreCode,$G$5,0)),0)</f>
        <v>0</v>
      </c>
      <c r="I110" s="34">
        <f t="shared" ca="1" si="3"/>
        <v>0</v>
      </c>
      <c r="J110" s="34">
        <f t="shared" ca="1" si="4"/>
        <v>0</v>
      </c>
      <c r="K110" s="34">
        <f t="shared" ca="1" si="5"/>
        <v>0</v>
      </c>
    </row>
    <row r="111" spans="7:22" x14ac:dyDescent="0.3">
      <c r="G111" s="14" cm="1">
        <f t="array" ref="G111">IFERROR(IF(D111,_xldudf_SCOTT_GL(OrgId,A111,0,YearStart-1),0)*F111,0)</f>
        <v>0</v>
      </c>
      <c r="H111" s="14">
        <f ca="1">IFERROR(SUM(IF(D111,_xldudf_SCOTT_GL(OrgId,A111,YearStart,PeriodEnd),_xldudf_SCOTT_GL(OrgId,A111,0,PeriodEnd)),IF(A111=XreCode,$G$5,0)),0)</f>
        <v>0</v>
      </c>
      <c r="I111" s="34">
        <f t="shared" ca="1" si="3"/>
        <v>0</v>
      </c>
      <c r="J111" s="34">
        <f t="shared" ca="1" si="4"/>
        <v>0</v>
      </c>
      <c r="K111" s="34">
        <f t="shared" ca="1" si="5"/>
        <v>0</v>
      </c>
    </row>
    <row r="112" spans="7:22" x14ac:dyDescent="0.3">
      <c r="G112" s="14" cm="1">
        <f t="array" ref="G112">IFERROR(IF(D112,_xldudf_SCOTT_GL(OrgId,A112,0,YearStart-1),0)*F112,0)</f>
        <v>0</v>
      </c>
      <c r="H112" s="14">
        <f ca="1">IFERROR(SUM(IF(D112,_xldudf_SCOTT_GL(OrgId,A112,YearStart,PeriodEnd),_xldudf_SCOTT_GL(OrgId,A112,0,PeriodEnd)),IF(A112=XreCode,$G$5,0)),0)</f>
        <v>0</v>
      </c>
      <c r="I112" s="34">
        <f t="shared" ca="1" si="3"/>
        <v>0</v>
      </c>
      <c r="J112" s="34">
        <f t="shared" ca="1" si="4"/>
        <v>0</v>
      </c>
      <c r="K112" s="34">
        <f t="shared" ca="1" si="5"/>
        <v>0</v>
      </c>
    </row>
    <row r="113" spans="7:11" x14ac:dyDescent="0.3">
      <c r="G113" s="14" cm="1">
        <f t="array" ref="G113">IFERROR(IF(D113,_xldudf_SCOTT_GL(OrgId,A113,0,YearStart-1),0)*F113,0)</f>
        <v>0</v>
      </c>
      <c r="H113" s="14">
        <f ca="1">IFERROR(SUM(IF(D113,_xldudf_SCOTT_GL(OrgId,A113,YearStart,PeriodEnd),_xldudf_SCOTT_GL(OrgId,A113,0,PeriodEnd)),IF(A113=XreCode,$G$5,0)),0)</f>
        <v>0</v>
      </c>
      <c r="I113" s="34">
        <f t="shared" ca="1" si="3"/>
        <v>0</v>
      </c>
      <c r="J113" s="34">
        <f t="shared" ca="1" si="4"/>
        <v>0</v>
      </c>
      <c r="K113" s="34">
        <f t="shared" ca="1" si="5"/>
        <v>0</v>
      </c>
    </row>
    <row r="114" spans="7:11" x14ac:dyDescent="0.3">
      <c r="G114" s="14" cm="1">
        <f t="array" ref="G114">IFERROR(IF(D114,_xldudf_SCOTT_GL(OrgId,A114,0,YearStart-1),0)*F114,0)</f>
        <v>0</v>
      </c>
      <c r="H114" s="14">
        <f ca="1">IFERROR(SUM(IF(D114,_xldudf_SCOTT_GL(OrgId,A114,YearStart,PeriodEnd),_xldudf_SCOTT_GL(OrgId,A114,0,PeriodEnd)),IF(A114=XreCode,$G$5,0)),0)</f>
        <v>0</v>
      </c>
      <c r="I114" s="34">
        <f t="shared" ca="1" si="3"/>
        <v>0</v>
      </c>
      <c r="J114" s="34">
        <f t="shared" ca="1" si="4"/>
        <v>0</v>
      </c>
      <c r="K114" s="34">
        <f t="shared" ca="1" si="5"/>
        <v>0</v>
      </c>
    </row>
    <row r="115" spans="7:11" x14ac:dyDescent="0.3">
      <c r="G115" s="14" cm="1">
        <f t="array" ref="G115">IFERROR(IF(D115,_xldudf_SCOTT_GL(OrgId,A115,0,YearStart-1),0)*F115,0)</f>
        <v>0</v>
      </c>
      <c r="H115" s="14">
        <f ca="1">IFERROR(SUM(IF(D115,_xldudf_SCOTT_GL(OrgId,A115,YearStart,PeriodEnd),_xldudf_SCOTT_GL(OrgId,A115,0,PeriodEnd)),IF(A115=XreCode,$G$5,0)),0)</f>
        <v>0</v>
      </c>
      <c r="I115" s="34">
        <f t="shared" ca="1" si="3"/>
        <v>0</v>
      </c>
      <c r="J115" s="34">
        <f t="shared" ca="1" si="4"/>
        <v>0</v>
      </c>
      <c r="K115" s="34">
        <f t="shared" ca="1" si="5"/>
        <v>0</v>
      </c>
    </row>
    <row r="116" spans="7:11" x14ac:dyDescent="0.3">
      <c r="G116" s="14" cm="1">
        <f t="array" ref="G116">IFERROR(IF(D116,_xldudf_SCOTT_GL(OrgId,A116,0,YearStart-1),0)*F116,0)</f>
        <v>0</v>
      </c>
      <c r="H116" s="14">
        <f ca="1">IFERROR(SUM(IF(D116,_xldudf_SCOTT_GL(OrgId,A116,YearStart,PeriodEnd),_xldudf_SCOTT_GL(OrgId,A116,0,PeriodEnd)),IF(A116=XreCode,$G$5,0)),0)</f>
        <v>0</v>
      </c>
      <c r="I116" s="34">
        <f t="shared" ca="1" si="3"/>
        <v>0</v>
      </c>
      <c r="J116" s="34">
        <f t="shared" ca="1" si="4"/>
        <v>0</v>
      </c>
      <c r="K116" s="34">
        <f t="shared" ca="1" si="5"/>
        <v>0</v>
      </c>
    </row>
    <row r="117" spans="7:11" x14ac:dyDescent="0.3">
      <c r="G117" s="14" cm="1">
        <f t="array" ref="G117">IFERROR(IF(D117,_xldudf_SCOTT_GL(OrgId,A117,0,YearStart-1),0)*F117,0)</f>
        <v>0</v>
      </c>
      <c r="H117" s="14">
        <f ca="1">IFERROR(SUM(IF(D117,_xldudf_SCOTT_GL(OrgId,A117,YearStart,PeriodEnd),_xldudf_SCOTT_GL(OrgId,A117,0,PeriodEnd)),IF(A117=XreCode,$G$5,0)),0)</f>
        <v>0</v>
      </c>
      <c r="I117" s="34">
        <f t="shared" ca="1" si="3"/>
        <v>0</v>
      </c>
      <c r="J117" s="34">
        <f t="shared" ca="1" si="4"/>
        <v>0</v>
      </c>
      <c r="K117" s="34">
        <f t="shared" ca="1" si="5"/>
        <v>0</v>
      </c>
    </row>
    <row r="118" spans="7:11" x14ac:dyDescent="0.3">
      <c r="G118" s="14" cm="1">
        <f t="array" ref="G118">IFERROR(IF(D118,_xldudf_SCOTT_GL(OrgId,A118,0,YearStart-1),0)*F118,0)</f>
        <v>0</v>
      </c>
      <c r="H118" s="14">
        <f ca="1">IFERROR(SUM(IF(D118,_xldudf_SCOTT_GL(OrgId,A118,YearStart,PeriodEnd),_xldudf_SCOTT_GL(OrgId,A118,0,PeriodEnd)),IF(A118=XreCode,$G$5,0)),0)</f>
        <v>0</v>
      </c>
      <c r="I118" s="34">
        <f t="shared" ca="1" si="3"/>
        <v>0</v>
      </c>
      <c r="J118" s="34">
        <f t="shared" ca="1" si="4"/>
        <v>0</v>
      </c>
      <c r="K118" s="34">
        <f t="shared" ca="1" si="5"/>
        <v>0</v>
      </c>
    </row>
    <row r="119" spans="7:11" x14ac:dyDescent="0.3">
      <c r="G119" s="14" cm="1">
        <f t="array" ref="G119">IFERROR(IF(D119,_xldudf_SCOTT_GL(OrgId,A119,0,YearStart-1),0)*F119,0)</f>
        <v>0</v>
      </c>
      <c r="H119" s="14">
        <f ca="1">IFERROR(SUM(IF(D119,_xldudf_SCOTT_GL(OrgId,A119,YearStart,PeriodEnd),_xldudf_SCOTT_GL(OrgId,A119,0,PeriodEnd)),IF(A119=XreCode,$G$5,0)),0)</f>
        <v>0</v>
      </c>
      <c r="I119" s="34">
        <f t="shared" ca="1" si="3"/>
        <v>0</v>
      </c>
      <c r="J119" s="34">
        <f t="shared" ca="1" si="4"/>
        <v>0</v>
      </c>
      <c r="K119" s="34">
        <f t="shared" ca="1" si="5"/>
        <v>0</v>
      </c>
    </row>
    <row r="120" spans="7:11" x14ac:dyDescent="0.3">
      <c r="G120" s="14" cm="1">
        <f t="array" ref="G120">IFERROR(IF(D120,_xldudf_SCOTT_GL(OrgId,A120,0,YearStart-1),0)*F120,0)</f>
        <v>0</v>
      </c>
      <c r="H120" s="14">
        <f ca="1">IFERROR(SUM(IF(D120,_xldudf_SCOTT_GL(OrgId,A120,YearStart,PeriodEnd),_xldudf_SCOTT_GL(OrgId,A120,0,PeriodEnd)),IF(A120=XreCode,$G$5,0)),0)</f>
        <v>0</v>
      </c>
      <c r="I120" s="34">
        <f t="shared" ca="1" si="3"/>
        <v>0</v>
      </c>
      <c r="J120" s="34">
        <f t="shared" ca="1" si="4"/>
        <v>0</v>
      </c>
      <c r="K120" s="34">
        <f t="shared" ca="1" si="5"/>
        <v>0</v>
      </c>
    </row>
    <row r="121" spans="7:11" x14ac:dyDescent="0.3">
      <c r="G121" s="14" cm="1">
        <f t="array" ref="G121">IFERROR(IF(D121,_xldudf_SCOTT_GL(OrgId,A121,0,YearStart-1),0)*F121,0)</f>
        <v>0</v>
      </c>
      <c r="H121" s="14">
        <f ca="1">IFERROR(SUM(IF(D121,_xldudf_SCOTT_GL(OrgId,A121,YearStart,PeriodEnd),_xldudf_SCOTT_GL(OrgId,A121,0,PeriodEnd)),IF(A121=XreCode,$G$5,0)),0)</f>
        <v>0</v>
      </c>
      <c r="I121" s="34">
        <f t="shared" ca="1" si="3"/>
        <v>0</v>
      </c>
      <c r="J121" s="34">
        <f t="shared" ca="1" si="4"/>
        <v>0</v>
      </c>
      <c r="K121" s="34">
        <f t="shared" ca="1" si="5"/>
        <v>0</v>
      </c>
    </row>
    <row r="122" spans="7:11" x14ac:dyDescent="0.3">
      <c r="G122" s="14" cm="1">
        <f t="array" ref="G122">IFERROR(IF(D122,_xldudf_SCOTT_GL(OrgId,A122,0,YearStart-1),0)*F122,0)</f>
        <v>0</v>
      </c>
      <c r="H122" s="14">
        <f ca="1">IFERROR(SUM(IF(D122,_xldudf_SCOTT_GL(OrgId,A122,YearStart,PeriodEnd),_xldudf_SCOTT_GL(OrgId,A122,0,PeriodEnd)),IF(A122=XreCode,$G$5,0)),0)</f>
        <v>0</v>
      </c>
      <c r="I122" s="34">
        <f t="shared" ca="1" si="3"/>
        <v>0</v>
      </c>
      <c r="J122" s="34">
        <f t="shared" ca="1" si="4"/>
        <v>0</v>
      </c>
      <c r="K122" s="34">
        <f t="shared" ca="1" si="5"/>
        <v>0</v>
      </c>
    </row>
    <row r="123" spans="7:11" x14ac:dyDescent="0.3">
      <c r="G123" s="14" cm="1">
        <f t="array" ref="G123">IFERROR(IF(D123,_xldudf_SCOTT_GL(OrgId,A123,0,YearStart-1),0)*F123,0)</f>
        <v>0</v>
      </c>
      <c r="H123" s="14">
        <f ca="1">IFERROR(SUM(IF(D123,_xldudf_SCOTT_GL(OrgId,A123,YearStart,PeriodEnd),_xldudf_SCOTT_GL(OrgId,A123,0,PeriodEnd)),IF(A123=XreCode,$G$5,0)),0)</f>
        <v>0</v>
      </c>
      <c r="I123" s="34">
        <f t="shared" ca="1" si="3"/>
        <v>0</v>
      </c>
      <c r="J123" s="34">
        <f t="shared" ca="1" si="4"/>
        <v>0</v>
      </c>
      <c r="K123" s="34">
        <f t="shared" ca="1" si="5"/>
        <v>0</v>
      </c>
    </row>
    <row r="124" spans="7:11" x14ac:dyDescent="0.3">
      <c r="G124" s="14" cm="1">
        <f t="array" ref="G124">IFERROR(IF(D124,_xldudf_SCOTT_GL(OrgId,A124,0,YearStart-1),0)*F124,0)</f>
        <v>0</v>
      </c>
      <c r="H124" s="14">
        <f ca="1">IFERROR(SUM(IF(D124,_xldudf_SCOTT_GL(OrgId,A124,YearStart,PeriodEnd),_xldudf_SCOTT_GL(OrgId,A124,0,PeriodEnd)),IF(A124=XreCode,$G$5,0)),0)</f>
        <v>0</v>
      </c>
      <c r="I124" s="34">
        <f t="shared" ca="1" si="3"/>
        <v>0</v>
      </c>
      <c r="J124" s="34">
        <f t="shared" ca="1" si="4"/>
        <v>0</v>
      </c>
      <c r="K124" s="34">
        <f t="shared" ca="1" si="5"/>
        <v>0</v>
      </c>
    </row>
    <row r="125" spans="7:11" x14ac:dyDescent="0.3">
      <c r="G125" s="14" cm="1">
        <f t="array" ref="G125">IFERROR(IF(D125,_xldudf_SCOTT_GL(OrgId,A125,0,YearStart-1),0)*F125,0)</f>
        <v>0</v>
      </c>
      <c r="H125" s="14">
        <f ca="1">IFERROR(SUM(IF(D125,_xldudf_SCOTT_GL(OrgId,A125,YearStart,PeriodEnd),_xldudf_SCOTT_GL(OrgId,A125,0,PeriodEnd)),IF(A125=XreCode,$G$5,0)),0)</f>
        <v>0</v>
      </c>
      <c r="I125" s="34">
        <f t="shared" ca="1" si="3"/>
        <v>0</v>
      </c>
      <c r="J125" s="34">
        <f t="shared" ca="1" si="4"/>
        <v>0</v>
      </c>
      <c r="K125" s="34">
        <f t="shared" ca="1" si="5"/>
        <v>0</v>
      </c>
    </row>
    <row r="126" spans="7:11" x14ac:dyDescent="0.3">
      <c r="G126" s="14" cm="1">
        <f t="array" ref="G126">IFERROR(IF(D126,_xldudf_SCOTT_GL(OrgId,A126,0,YearStart-1),0)*F126,0)</f>
        <v>0</v>
      </c>
      <c r="H126" s="14">
        <f ca="1">IFERROR(SUM(IF(D126,_xldudf_SCOTT_GL(OrgId,A126,YearStart,PeriodEnd),_xldudf_SCOTT_GL(OrgId,A126,0,PeriodEnd)),IF(A126=XreCode,$G$5,0)),0)</f>
        <v>0</v>
      </c>
      <c r="I126" s="34">
        <f t="shared" ca="1" si="3"/>
        <v>0</v>
      </c>
      <c r="J126" s="34">
        <f t="shared" ca="1" si="4"/>
        <v>0</v>
      </c>
      <c r="K126" s="34">
        <f t="shared" ca="1" si="5"/>
        <v>0</v>
      </c>
    </row>
    <row r="127" spans="7:11" x14ac:dyDescent="0.3">
      <c r="G127" s="14" cm="1">
        <f t="array" ref="G127">IFERROR(IF(D127,_xldudf_SCOTT_GL(OrgId,A127,0,YearStart-1),0)*F127,0)</f>
        <v>0</v>
      </c>
      <c r="H127" s="14">
        <f ca="1">IFERROR(SUM(IF(D127,_xldudf_SCOTT_GL(OrgId,A127,YearStart,PeriodEnd),_xldudf_SCOTT_GL(OrgId,A127,0,PeriodEnd)),IF(A127=XreCode,$G$5,0)),0)</f>
        <v>0</v>
      </c>
      <c r="I127" s="34">
        <f t="shared" ca="1" si="3"/>
        <v>0</v>
      </c>
      <c r="J127" s="34">
        <f t="shared" ca="1" si="4"/>
        <v>0</v>
      </c>
      <c r="K127" s="34">
        <f t="shared" ca="1" si="5"/>
        <v>0</v>
      </c>
    </row>
    <row r="128" spans="7:11" x14ac:dyDescent="0.3">
      <c r="G128" s="14" cm="1">
        <f t="array" ref="G128">IFERROR(IF(D128,_xldudf_SCOTT_GL(OrgId,A128,0,YearStart-1),0)*F128,0)</f>
        <v>0</v>
      </c>
      <c r="H128" s="14">
        <f ca="1">IFERROR(SUM(IF(D128,_xldudf_SCOTT_GL(OrgId,A128,YearStart,PeriodEnd),_xldudf_SCOTT_GL(OrgId,A128,0,PeriodEnd)),IF(A128=XreCode,$G$5,0)),0)</f>
        <v>0</v>
      </c>
      <c r="I128" s="34">
        <f t="shared" ca="1" si="3"/>
        <v>0</v>
      </c>
      <c r="J128" s="34">
        <f t="shared" ca="1" si="4"/>
        <v>0</v>
      </c>
      <c r="K128" s="34">
        <f t="shared" ca="1" si="5"/>
        <v>0</v>
      </c>
    </row>
    <row r="129" spans="7:11" x14ac:dyDescent="0.3">
      <c r="G129" s="14" cm="1">
        <f t="array" ref="G129">IFERROR(IF(D129,_xldudf_SCOTT_GL(OrgId,A129,0,YearStart-1),0)*F129,0)</f>
        <v>0</v>
      </c>
      <c r="H129" s="14">
        <f ca="1">IFERROR(SUM(IF(D129,_xldudf_SCOTT_GL(OrgId,A129,YearStart,PeriodEnd),_xldudf_SCOTT_GL(OrgId,A129,0,PeriodEnd)),IF(A129=XreCode,$G$5,0)),0)</f>
        <v>0</v>
      </c>
      <c r="I129" s="34">
        <f t="shared" ca="1" si="3"/>
        <v>0</v>
      </c>
      <c r="J129" s="34">
        <f t="shared" ca="1" si="4"/>
        <v>0</v>
      </c>
      <c r="K129" s="34">
        <f t="shared" ca="1" si="5"/>
        <v>0</v>
      </c>
    </row>
    <row r="130" spans="7:11" x14ac:dyDescent="0.3">
      <c r="G130" s="14" cm="1">
        <f t="array" ref="G130">IFERROR(IF(D130,_xldudf_SCOTT_GL(OrgId,A130,0,YearStart-1),0)*F130,0)</f>
        <v>0</v>
      </c>
      <c r="H130" s="14">
        <f ca="1">IFERROR(SUM(IF(D130,_xldudf_SCOTT_GL(OrgId,A130,YearStart,PeriodEnd),_xldudf_SCOTT_GL(OrgId,A130,0,PeriodEnd)),IF(A130=XreCode,$G$5,0)),0)</f>
        <v>0</v>
      </c>
      <c r="I130" s="34">
        <f t="shared" ca="1" si="3"/>
        <v>0</v>
      </c>
      <c r="J130" s="34">
        <f t="shared" ca="1" si="4"/>
        <v>0</v>
      </c>
      <c r="K130" s="34">
        <f t="shared" ca="1" si="5"/>
        <v>0</v>
      </c>
    </row>
    <row r="131" spans="7:11" x14ac:dyDescent="0.3">
      <c r="G131" s="14" cm="1">
        <f t="array" ref="G131">IFERROR(IF(D131,_xldudf_SCOTT_GL(OrgId,A131,0,YearStart-1),0)*F131,0)</f>
        <v>0</v>
      </c>
      <c r="H131" s="14">
        <f ca="1">IFERROR(SUM(IF(D131,_xldudf_SCOTT_GL(OrgId,A131,YearStart,PeriodEnd),_xldudf_SCOTT_GL(OrgId,A131,0,PeriodEnd)),IF(A131=XreCode,$G$5,0)),0)</f>
        <v>0</v>
      </c>
      <c r="I131" s="34">
        <f t="shared" ca="1" si="3"/>
        <v>0</v>
      </c>
      <c r="J131" s="34">
        <f t="shared" ca="1" si="4"/>
        <v>0</v>
      </c>
      <c r="K131" s="34">
        <f t="shared" ca="1" si="5"/>
        <v>0</v>
      </c>
    </row>
    <row r="132" spans="7:11" x14ac:dyDescent="0.3">
      <c r="G132" s="14" cm="1">
        <f t="array" ref="G132">IFERROR(IF(D132,_xldudf_SCOTT_GL(OrgId,A132,0,YearStart-1),0)*F132,0)</f>
        <v>0</v>
      </c>
      <c r="H132" s="14">
        <f ca="1">IFERROR(SUM(IF(D132,_xldudf_SCOTT_GL(OrgId,A132,YearStart,PeriodEnd),_xldudf_SCOTT_GL(OrgId,A132,0,PeriodEnd)),IF(A132=XreCode,$G$5,0)),0)</f>
        <v>0</v>
      </c>
      <c r="I132" s="34">
        <f t="shared" ca="1" si="3"/>
        <v>0</v>
      </c>
      <c r="J132" s="34">
        <f t="shared" ca="1" si="4"/>
        <v>0</v>
      </c>
      <c r="K132" s="34">
        <f t="shared" ca="1" si="5"/>
        <v>0</v>
      </c>
    </row>
    <row r="133" spans="7:11" x14ac:dyDescent="0.3">
      <c r="G133" s="14" cm="1">
        <f t="array" ref="G133">IFERROR(IF(D133,_xldudf_SCOTT_GL(OrgId,A133,0,YearStart-1),0)*F133,0)</f>
        <v>0</v>
      </c>
      <c r="H133" s="14">
        <f ca="1">IFERROR(SUM(IF(D133,_xldudf_SCOTT_GL(OrgId,A133,YearStart,PeriodEnd),_xldudf_SCOTT_GL(OrgId,A133,0,PeriodEnd)),IF(A133=XreCode,$G$5,0)),0)</f>
        <v>0</v>
      </c>
      <c r="I133" s="34">
        <f t="shared" ca="1" si="3"/>
        <v>0</v>
      </c>
      <c r="J133" s="34">
        <f t="shared" ca="1" si="4"/>
        <v>0</v>
      </c>
      <c r="K133" s="34">
        <f t="shared" ca="1" si="5"/>
        <v>0</v>
      </c>
    </row>
    <row r="134" spans="7:11" x14ac:dyDescent="0.3">
      <c r="G134" s="14" cm="1">
        <f t="array" ref="G134">IFERROR(IF(D134,_xldudf_SCOTT_GL(OrgId,A134,0,YearStart-1),0)*F134,0)</f>
        <v>0</v>
      </c>
      <c r="H134" s="14">
        <f ca="1">IFERROR(SUM(IF(D134,_xldudf_SCOTT_GL(OrgId,A134,YearStart,PeriodEnd),_xldudf_SCOTT_GL(OrgId,A134,0,PeriodEnd)),IF(A134=XreCode,$G$5,0)),0)</f>
        <v>0</v>
      </c>
      <c r="I134" s="34">
        <f t="shared" ca="1" si="3"/>
        <v>0</v>
      </c>
      <c r="J134" s="34">
        <f t="shared" ca="1" si="4"/>
        <v>0</v>
      </c>
      <c r="K134" s="34">
        <f t="shared" ca="1" si="5"/>
        <v>0</v>
      </c>
    </row>
    <row r="135" spans="7:11" x14ac:dyDescent="0.3">
      <c r="G135" s="14" cm="1">
        <f t="array" ref="G135">IFERROR(IF(D135,_xldudf_SCOTT_GL(OrgId,A135,0,YearStart-1),0)*F135,0)</f>
        <v>0</v>
      </c>
      <c r="H135" s="14">
        <f ca="1">IFERROR(SUM(IF(D135,_xldudf_SCOTT_GL(OrgId,A135,YearStart,PeriodEnd),_xldudf_SCOTT_GL(OrgId,A135,0,PeriodEnd)),IF(A135=XreCode,$G$5,0)),0)</f>
        <v>0</v>
      </c>
      <c r="I135" s="34">
        <f t="shared" ca="1" si="3"/>
        <v>0</v>
      </c>
      <c r="J135" s="34">
        <f t="shared" ca="1" si="4"/>
        <v>0</v>
      </c>
      <c r="K135" s="34">
        <f t="shared" ca="1" si="5"/>
        <v>0</v>
      </c>
    </row>
    <row r="136" spans="7:11" x14ac:dyDescent="0.3">
      <c r="G136" s="14" cm="1">
        <f t="array" ref="G136">IFERROR(IF(D136,_xldudf_SCOTT_GL(OrgId,A136,0,YearStart-1),0)*F136,0)</f>
        <v>0</v>
      </c>
      <c r="H136" s="14">
        <f ca="1">IFERROR(SUM(IF(D136,_xldudf_SCOTT_GL(OrgId,A136,YearStart,PeriodEnd),_xldudf_SCOTT_GL(OrgId,A136,0,PeriodEnd)),IF(A136=XreCode,$G$5,0)),0)</f>
        <v>0</v>
      </c>
      <c r="I136" s="34">
        <f t="shared" ca="1" si="3"/>
        <v>0</v>
      </c>
      <c r="J136" s="34">
        <f t="shared" ca="1" si="4"/>
        <v>0</v>
      </c>
      <c r="K136" s="34">
        <f t="shared" ca="1" si="5"/>
        <v>0</v>
      </c>
    </row>
    <row r="137" spans="7:11" x14ac:dyDescent="0.3">
      <c r="G137" s="14" cm="1">
        <f t="array" ref="G137">IFERROR(IF(D137,_xldudf_SCOTT_GL(OrgId,A137,0,YearStart-1),0)*F137,0)</f>
        <v>0</v>
      </c>
      <c r="H137" s="14">
        <f ca="1">IFERROR(SUM(IF(D137,_xldudf_SCOTT_GL(OrgId,A137,YearStart,PeriodEnd),_xldudf_SCOTT_GL(OrgId,A137,0,PeriodEnd)),IF(A137=XreCode,$G$5,0)),0)</f>
        <v>0</v>
      </c>
      <c r="I137" s="34">
        <f t="shared" ref="I137:I200" ca="1" si="6">IF(K137&gt;0,K137,0)</f>
        <v>0</v>
      </c>
      <c r="J137" s="34">
        <f t="shared" ref="J137:J200" ca="1" si="7">IF(K137&lt;0,-K137,0)</f>
        <v>0</v>
      </c>
      <c r="K137" s="34">
        <f t="shared" ref="K137:K200" ca="1" si="8">E137*H137</f>
        <v>0</v>
      </c>
    </row>
    <row r="138" spans="7:11" x14ac:dyDescent="0.3">
      <c r="G138" s="14" cm="1">
        <f t="array" ref="G138">IFERROR(IF(D138,_xldudf_SCOTT_GL(OrgId,A138,0,YearStart-1),0)*F138,0)</f>
        <v>0</v>
      </c>
      <c r="H138" s="14">
        <f ca="1">IFERROR(SUM(IF(D138,_xldudf_SCOTT_GL(OrgId,A138,YearStart,PeriodEnd),_xldudf_SCOTT_GL(OrgId,A138,0,PeriodEnd)),IF(A138=XreCode,$G$5,0)),0)</f>
        <v>0</v>
      </c>
      <c r="I138" s="34">
        <f t="shared" ca="1" si="6"/>
        <v>0</v>
      </c>
      <c r="J138" s="34">
        <f t="shared" ca="1" si="7"/>
        <v>0</v>
      </c>
      <c r="K138" s="34">
        <f t="shared" ca="1" si="8"/>
        <v>0</v>
      </c>
    </row>
    <row r="139" spans="7:11" x14ac:dyDescent="0.3">
      <c r="G139" s="14" cm="1">
        <f t="array" ref="G139">IFERROR(IF(D139,_xldudf_SCOTT_GL(OrgId,A139,0,YearStart-1),0)*F139,0)</f>
        <v>0</v>
      </c>
      <c r="H139" s="14">
        <f ca="1">IFERROR(SUM(IF(D139,_xldudf_SCOTT_GL(OrgId,A139,YearStart,PeriodEnd),_xldudf_SCOTT_GL(OrgId,A139,0,PeriodEnd)),IF(A139=XreCode,$G$5,0)),0)</f>
        <v>0</v>
      </c>
      <c r="I139" s="34">
        <f t="shared" ca="1" si="6"/>
        <v>0</v>
      </c>
      <c r="J139" s="34">
        <f t="shared" ca="1" si="7"/>
        <v>0</v>
      </c>
      <c r="K139" s="34">
        <f t="shared" ca="1" si="8"/>
        <v>0</v>
      </c>
    </row>
    <row r="140" spans="7:11" x14ac:dyDescent="0.3">
      <c r="G140" s="14" cm="1">
        <f t="array" ref="G140">IFERROR(IF(D140,_xldudf_SCOTT_GL(OrgId,A140,0,YearStart-1),0)*F140,0)</f>
        <v>0</v>
      </c>
      <c r="H140" s="14">
        <f ca="1">IFERROR(SUM(IF(D140,_xldudf_SCOTT_GL(OrgId,A140,YearStart,PeriodEnd),_xldudf_SCOTT_GL(OrgId,A140,0,PeriodEnd)),IF(A140=XreCode,$G$5,0)),0)</f>
        <v>0</v>
      </c>
      <c r="I140" s="34">
        <f t="shared" ca="1" si="6"/>
        <v>0</v>
      </c>
      <c r="J140" s="34">
        <f t="shared" ca="1" si="7"/>
        <v>0</v>
      </c>
      <c r="K140" s="34">
        <f t="shared" ca="1" si="8"/>
        <v>0</v>
      </c>
    </row>
    <row r="141" spans="7:11" x14ac:dyDescent="0.3">
      <c r="G141" s="14" cm="1">
        <f t="array" ref="G141">IFERROR(IF(D141,_xldudf_SCOTT_GL(OrgId,A141,0,YearStart-1),0)*F141,0)</f>
        <v>0</v>
      </c>
      <c r="H141" s="14">
        <f ca="1">IFERROR(SUM(IF(D141,_xldudf_SCOTT_GL(OrgId,A141,YearStart,PeriodEnd),_xldudf_SCOTT_GL(OrgId,A141,0,PeriodEnd)),IF(A141=XreCode,$G$5,0)),0)</f>
        <v>0</v>
      </c>
      <c r="I141" s="34">
        <f t="shared" ca="1" si="6"/>
        <v>0</v>
      </c>
      <c r="J141" s="34">
        <f t="shared" ca="1" si="7"/>
        <v>0</v>
      </c>
      <c r="K141" s="34">
        <f t="shared" ca="1" si="8"/>
        <v>0</v>
      </c>
    </row>
    <row r="142" spans="7:11" x14ac:dyDescent="0.3">
      <c r="G142" s="14" cm="1">
        <f t="array" ref="G142">IFERROR(IF(D142,_xldudf_SCOTT_GL(OrgId,A142,0,YearStart-1),0)*F142,0)</f>
        <v>0</v>
      </c>
      <c r="H142" s="14">
        <f ca="1">IFERROR(SUM(IF(D142,_xldudf_SCOTT_GL(OrgId,A142,YearStart,PeriodEnd),_xldudf_SCOTT_GL(OrgId,A142,0,PeriodEnd)),IF(A142=XreCode,$G$5,0)),0)</f>
        <v>0</v>
      </c>
      <c r="I142" s="34">
        <f t="shared" ca="1" si="6"/>
        <v>0</v>
      </c>
      <c r="J142" s="34">
        <f t="shared" ca="1" si="7"/>
        <v>0</v>
      </c>
      <c r="K142" s="34">
        <f t="shared" ca="1" si="8"/>
        <v>0</v>
      </c>
    </row>
    <row r="143" spans="7:11" x14ac:dyDescent="0.3">
      <c r="G143" s="14" cm="1">
        <f t="array" ref="G143">IFERROR(IF(D143,_xldudf_SCOTT_GL(OrgId,A143,0,YearStart-1),0)*F143,0)</f>
        <v>0</v>
      </c>
      <c r="H143" s="14">
        <f ca="1">IFERROR(SUM(IF(D143,_xldudf_SCOTT_GL(OrgId,A143,YearStart,PeriodEnd),_xldudf_SCOTT_GL(OrgId,A143,0,PeriodEnd)),IF(A143=XreCode,$G$5,0)),0)</f>
        <v>0</v>
      </c>
      <c r="I143" s="34">
        <f t="shared" ca="1" si="6"/>
        <v>0</v>
      </c>
      <c r="J143" s="34">
        <f t="shared" ca="1" si="7"/>
        <v>0</v>
      </c>
      <c r="K143" s="34">
        <f t="shared" ca="1" si="8"/>
        <v>0</v>
      </c>
    </row>
    <row r="144" spans="7:11" x14ac:dyDescent="0.3">
      <c r="G144" s="14" cm="1">
        <f t="array" ref="G144">IFERROR(IF(D144,_xldudf_SCOTT_GL(OrgId,A144,0,YearStart-1),0)*F144,0)</f>
        <v>0</v>
      </c>
      <c r="H144" s="14">
        <f ca="1">IFERROR(SUM(IF(D144,_xldudf_SCOTT_GL(OrgId,A144,YearStart,PeriodEnd),_xldudf_SCOTT_GL(OrgId,A144,0,PeriodEnd)),IF(A144=XreCode,$G$5,0)),0)</f>
        <v>0</v>
      </c>
      <c r="I144" s="34">
        <f t="shared" ca="1" si="6"/>
        <v>0</v>
      </c>
      <c r="J144" s="34">
        <f t="shared" ca="1" si="7"/>
        <v>0</v>
      </c>
      <c r="K144" s="34">
        <f t="shared" ca="1" si="8"/>
        <v>0</v>
      </c>
    </row>
    <row r="145" spans="7:11" x14ac:dyDescent="0.3">
      <c r="G145" s="14" cm="1">
        <f t="array" ref="G145">IFERROR(IF(D145,_xldudf_SCOTT_GL(OrgId,A145,0,YearStart-1),0)*F145,0)</f>
        <v>0</v>
      </c>
      <c r="H145" s="14">
        <f ca="1">IFERROR(SUM(IF(D145,_xldudf_SCOTT_GL(OrgId,A145,YearStart,PeriodEnd),_xldudf_SCOTT_GL(OrgId,A145,0,PeriodEnd)),IF(A145=XreCode,$G$5,0)),0)</f>
        <v>0</v>
      </c>
      <c r="I145" s="34">
        <f t="shared" ca="1" si="6"/>
        <v>0</v>
      </c>
      <c r="J145" s="34">
        <f t="shared" ca="1" si="7"/>
        <v>0</v>
      </c>
      <c r="K145" s="34">
        <f t="shared" ca="1" si="8"/>
        <v>0</v>
      </c>
    </row>
    <row r="146" spans="7:11" x14ac:dyDescent="0.3">
      <c r="G146" s="14" cm="1">
        <f t="array" ref="G146">IFERROR(IF(D146,_xldudf_SCOTT_GL(OrgId,A146,0,YearStart-1),0)*F146,0)</f>
        <v>0</v>
      </c>
      <c r="H146" s="14">
        <f ca="1">IFERROR(SUM(IF(D146,_xldudf_SCOTT_GL(OrgId,A146,YearStart,PeriodEnd),_xldudf_SCOTT_GL(OrgId,A146,0,PeriodEnd)),IF(A146=XreCode,$G$5,0)),0)</f>
        <v>0</v>
      </c>
      <c r="I146" s="34">
        <f t="shared" ca="1" si="6"/>
        <v>0</v>
      </c>
      <c r="J146" s="34">
        <f t="shared" ca="1" si="7"/>
        <v>0</v>
      </c>
      <c r="K146" s="34">
        <f t="shared" ca="1" si="8"/>
        <v>0</v>
      </c>
    </row>
    <row r="147" spans="7:11" x14ac:dyDescent="0.3">
      <c r="G147" s="14" cm="1">
        <f t="array" ref="G147">IFERROR(IF(D147,_xldudf_SCOTT_GL(OrgId,A147,0,YearStart-1),0)*F147,0)</f>
        <v>0</v>
      </c>
      <c r="H147" s="14">
        <f ca="1">IFERROR(SUM(IF(D147,_xldudf_SCOTT_GL(OrgId,A147,YearStart,PeriodEnd),_xldudf_SCOTT_GL(OrgId,A147,0,PeriodEnd)),IF(A147=XreCode,$G$5,0)),0)</f>
        <v>0</v>
      </c>
      <c r="I147" s="34">
        <f t="shared" ca="1" si="6"/>
        <v>0</v>
      </c>
      <c r="J147" s="34">
        <f t="shared" ca="1" si="7"/>
        <v>0</v>
      </c>
      <c r="K147" s="34">
        <f t="shared" ca="1" si="8"/>
        <v>0</v>
      </c>
    </row>
    <row r="148" spans="7:11" x14ac:dyDescent="0.3">
      <c r="G148" s="14" cm="1">
        <f t="array" ref="G148">IFERROR(IF(D148,_xldudf_SCOTT_GL(OrgId,A148,0,YearStart-1),0)*F148,0)</f>
        <v>0</v>
      </c>
      <c r="H148" s="14">
        <f ca="1">IFERROR(SUM(IF(D148,_xldudf_SCOTT_GL(OrgId,A148,YearStart,PeriodEnd),_xldudf_SCOTT_GL(OrgId,A148,0,PeriodEnd)),IF(A148=XreCode,$G$5,0)),0)</f>
        <v>0</v>
      </c>
      <c r="I148" s="34">
        <f t="shared" ca="1" si="6"/>
        <v>0</v>
      </c>
      <c r="J148" s="34">
        <f t="shared" ca="1" si="7"/>
        <v>0</v>
      </c>
      <c r="K148" s="34">
        <f t="shared" ca="1" si="8"/>
        <v>0</v>
      </c>
    </row>
    <row r="149" spans="7:11" x14ac:dyDescent="0.3">
      <c r="G149" s="14" cm="1">
        <f t="array" ref="G149">IFERROR(IF(D149,_xldudf_SCOTT_GL(OrgId,A149,0,YearStart-1),0)*F149,0)</f>
        <v>0</v>
      </c>
      <c r="H149" s="14">
        <f ca="1">IFERROR(SUM(IF(D149,_xldudf_SCOTT_GL(OrgId,A149,YearStart,PeriodEnd),_xldudf_SCOTT_GL(OrgId,A149,0,PeriodEnd)),IF(A149=XreCode,$G$5,0)),0)</f>
        <v>0</v>
      </c>
      <c r="I149" s="34">
        <f t="shared" ca="1" si="6"/>
        <v>0</v>
      </c>
      <c r="J149" s="34">
        <f t="shared" ca="1" si="7"/>
        <v>0</v>
      </c>
      <c r="K149" s="34">
        <f t="shared" ca="1" si="8"/>
        <v>0</v>
      </c>
    </row>
    <row r="150" spans="7:11" x14ac:dyDescent="0.3">
      <c r="G150" s="14" cm="1">
        <f t="array" ref="G150">IFERROR(IF(D150,_xldudf_SCOTT_GL(OrgId,A150,0,YearStart-1),0)*F150,0)</f>
        <v>0</v>
      </c>
      <c r="H150" s="14">
        <f ca="1">IFERROR(SUM(IF(D150,_xldudf_SCOTT_GL(OrgId,A150,YearStart,PeriodEnd),_xldudf_SCOTT_GL(OrgId,A150,0,PeriodEnd)),IF(A150=XreCode,$G$5,0)),0)</f>
        <v>0</v>
      </c>
      <c r="I150" s="34">
        <f t="shared" ca="1" si="6"/>
        <v>0</v>
      </c>
      <c r="J150" s="34">
        <f t="shared" ca="1" si="7"/>
        <v>0</v>
      </c>
      <c r="K150" s="34">
        <f t="shared" ca="1" si="8"/>
        <v>0</v>
      </c>
    </row>
    <row r="151" spans="7:11" x14ac:dyDescent="0.3">
      <c r="G151" s="14" cm="1">
        <f t="array" ref="G151">IFERROR(IF(D151,_xldudf_SCOTT_GL(OrgId,A151,0,YearStart-1),0)*F151,0)</f>
        <v>0</v>
      </c>
      <c r="H151" s="14">
        <f ca="1">IFERROR(SUM(IF(D151,_xldudf_SCOTT_GL(OrgId,A151,YearStart,PeriodEnd),_xldudf_SCOTT_GL(OrgId,A151,0,PeriodEnd)),IF(A151=XreCode,$G$5,0)),0)</f>
        <v>0</v>
      </c>
      <c r="I151" s="34">
        <f t="shared" ca="1" si="6"/>
        <v>0</v>
      </c>
      <c r="J151" s="34">
        <f t="shared" ca="1" si="7"/>
        <v>0</v>
      </c>
      <c r="K151" s="34">
        <f t="shared" ca="1" si="8"/>
        <v>0</v>
      </c>
    </row>
    <row r="152" spans="7:11" x14ac:dyDescent="0.3">
      <c r="G152" s="14" cm="1">
        <f t="array" ref="G152">IFERROR(IF(D152,_xldudf_SCOTT_GL(OrgId,A152,0,YearStart-1),0)*F152,0)</f>
        <v>0</v>
      </c>
      <c r="H152" s="14">
        <f ca="1">IFERROR(SUM(IF(D152,_xldudf_SCOTT_GL(OrgId,A152,YearStart,PeriodEnd),_xldudf_SCOTT_GL(OrgId,A152,0,PeriodEnd)),IF(A152=XreCode,$G$5,0)),0)</f>
        <v>0</v>
      </c>
      <c r="I152" s="34">
        <f t="shared" ca="1" si="6"/>
        <v>0</v>
      </c>
      <c r="J152" s="34">
        <f t="shared" ca="1" si="7"/>
        <v>0</v>
      </c>
      <c r="K152" s="34">
        <f t="shared" ca="1" si="8"/>
        <v>0</v>
      </c>
    </row>
    <row r="153" spans="7:11" x14ac:dyDescent="0.3">
      <c r="G153" s="14" cm="1">
        <f t="array" ref="G153">IFERROR(IF(D153,_xldudf_SCOTT_GL(OrgId,A153,0,YearStart-1),0)*F153,0)</f>
        <v>0</v>
      </c>
      <c r="H153" s="14">
        <f ca="1">IFERROR(SUM(IF(D153,_xldudf_SCOTT_GL(OrgId,A153,YearStart,PeriodEnd),_xldudf_SCOTT_GL(OrgId,A153,0,PeriodEnd)),IF(A153=XreCode,$G$5,0)),0)</f>
        <v>0</v>
      </c>
      <c r="I153" s="34">
        <f t="shared" ca="1" si="6"/>
        <v>0</v>
      </c>
      <c r="J153" s="34">
        <f t="shared" ca="1" si="7"/>
        <v>0</v>
      </c>
      <c r="K153" s="34">
        <f t="shared" ca="1" si="8"/>
        <v>0</v>
      </c>
    </row>
    <row r="154" spans="7:11" x14ac:dyDescent="0.3">
      <c r="G154" s="14" cm="1">
        <f t="array" ref="G154">IFERROR(IF(D154,_xldudf_SCOTT_GL(OrgId,A154,0,YearStart-1),0)*F154,0)</f>
        <v>0</v>
      </c>
      <c r="H154" s="14">
        <f ca="1">IFERROR(SUM(IF(D154,_xldudf_SCOTT_GL(OrgId,A154,YearStart,PeriodEnd),_xldudf_SCOTT_GL(OrgId,A154,0,PeriodEnd)),IF(A154=XreCode,$G$5,0)),0)</f>
        <v>0</v>
      </c>
      <c r="I154" s="34">
        <f t="shared" ca="1" si="6"/>
        <v>0</v>
      </c>
      <c r="J154" s="34">
        <f t="shared" ca="1" si="7"/>
        <v>0</v>
      </c>
      <c r="K154" s="34">
        <f t="shared" ca="1" si="8"/>
        <v>0</v>
      </c>
    </row>
    <row r="155" spans="7:11" x14ac:dyDescent="0.3">
      <c r="G155" s="14" cm="1">
        <f t="array" ref="G155">IFERROR(IF(D155,_xldudf_SCOTT_GL(OrgId,A155,0,YearStart-1),0)*F155,0)</f>
        <v>0</v>
      </c>
      <c r="H155" s="14">
        <f ca="1">IFERROR(SUM(IF(D155,_xldudf_SCOTT_GL(OrgId,A155,YearStart,PeriodEnd),_xldudf_SCOTT_GL(OrgId,A155,0,PeriodEnd)),IF(A155=XreCode,$G$5,0)),0)</f>
        <v>0</v>
      </c>
      <c r="I155" s="34">
        <f t="shared" ca="1" si="6"/>
        <v>0</v>
      </c>
      <c r="J155" s="34">
        <f t="shared" ca="1" si="7"/>
        <v>0</v>
      </c>
      <c r="K155" s="34">
        <f t="shared" ca="1" si="8"/>
        <v>0</v>
      </c>
    </row>
    <row r="156" spans="7:11" x14ac:dyDescent="0.3">
      <c r="G156" s="14" cm="1">
        <f t="array" ref="G156">IFERROR(IF(D156,_xldudf_SCOTT_GL(OrgId,A156,0,YearStart-1),0)*F156,0)</f>
        <v>0</v>
      </c>
      <c r="H156" s="14">
        <f ca="1">IFERROR(SUM(IF(D156,_xldudf_SCOTT_GL(OrgId,A156,YearStart,PeriodEnd),_xldudf_SCOTT_GL(OrgId,A156,0,PeriodEnd)),IF(A156=XreCode,$G$5,0)),0)</f>
        <v>0</v>
      </c>
      <c r="I156" s="34">
        <f t="shared" ca="1" si="6"/>
        <v>0</v>
      </c>
      <c r="J156" s="34">
        <f t="shared" ca="1" si="7"/>
        <v>0</v>
      </c>
      <c r="K156" s="34">
        <f t="shared" ca="1" si="8"/>
        <v>0</v>
      </c>
    </row>
    <row r="157" spans="7:11" x14ac:dyDescent="0.3">
      <c r="G157" s="14" cm="1">
        <f t="array" ref="G157">IFERROR(IF(D157,_xldudf_SCOTT_GL(OrgId,A157,0,YearStart-1),0)*F157,0)</f>
        <v>0</v>
      </c>
      <c r="H157" s="14">
        <f ca="1">IFERROR(SUM(IF(D157,_xldudf_SCOTT_GL(OrgId,A157,YearStart,PeriodEnd),_xldudf_SCOTT_GL(OrgId,A157,0,PeriodEnd)),IF(A157=XreCode,$G$5,0)),0)</f>
        <v>0</v>
      </c>
      <c r="I157" s="34">
        <f t="shared" ca="1" si="6"/>
        <v>0</v>
      </c>
      <c r="J157" s="34">
        <f t="shared" ca="1" si="7"/>
        <v>0</v>
      </c>
      <c r="K157" s="34">
        <f t="shared" ca="1" si="8"/>
        <v>0</v>
      </c>
    </row>
    <row r="158" spans="7:11" x14ac:dyDescent="0.3">
      <c r="G158" s="14" cm="1">
        <f t="array" ref="G158">IFERROR(IF(D158,_xldudf_SCOTT_GL(OrgId,A158,0,YearStart-1),0)*F158,0)</f>
        <v>0</v>
      </c>
      <c r="H158" s="14">
        <f ca="1">IFERROR(SUM(IF(D158,_xldudf_SCOTT_GL(OrgId,A158,YearStart,PeriodEnd),_xldudf_SCOTT_GL(OrgId,A158,0,PeriodEnd)),IF(A158=XreCode,$G$5,0)),0)</f>
        <v>0</v>
      </c>
      <c r="I158" s="34">
        <f t="shared" ca="1" si="6"/>
        <v>0</v>
      </c>
      <c r="J158" s="34">
        <f t="shared" ca="1" si="7"/>
        <v>0</v>
      </c>
      <c r="K158" s="34">
        <f t="shared" ca="1" si="8"/>
        <v>0</v>
      </c>
    </row>
    <row r="159" spans="7:11" x14ac:dyDescent="0.3">
      <c r="G159" s="14" cm="1">
        <f t="array" ref="G159">IFERROR(IF(D159,_xldudf_SCOTT_GL(OrgId,A159,0,YearStart-1),0)*F159,0)</f>
        <v>0</v>
      </c>
      <c r="H159" s="14">
        <f ca="1">IFERROR(SUM(IF(D159,_xldudf_SCOTT_GL(OrgId,A159,YearStart,PeriodEnd),_xldudf_SCOTT_GL(OrgId,A159,0,PeriodEnd)),IF(A159=XreCode,$G$5,0)),0)</f>
        <v>0</v>
      </c>
      <c r="I159" s="34">
        <f t="shared" ca="1" si="6"/>
        <v>0</v>
      </c>
      <c r="J159" s="34">
        <f t="shared" ca="1" si="7"/>
        <v>0</v>
      </c>
      <c r="K159" s="34">
        <f t="shared" ca="1" si="8"/>
        <v>0</v>
      </c>
    </row>
    <row r="160" spans="7:11" x14ac:dyDescent="0.3">
      <c r="G160" s="14" cm="1">
        <f t="array" ref="G160">IFERROR(IF(D160,_xldudf_SCOTT_GL(OrgId,A160,0,YearStart-1),0)*F160,0)</f>
        <v>0</v>
      </c>
      <c r="H160" s="14">
        <f ca="1">IFERROR(SUM(IF(D160,_xldudf_SCOTT_GL(OrgId,A160,YearStart,PeriodEnd),_xldudf_SCOTT_GL(OrgId,A160,0,PeriodEnd)),IF(A160=XreCode,$G$5,0)),0)</f>
        <v>0</v>
      </c>
      <c r="I160" s="34">
        <f t="shared" ca="1" si="6"/>
        <v>0</v>
      </c>
      <c r="J160" s="34">
        <f t="shared" ca="1" si="7"/>
        <v>0</v>
      </c>
      <c r="K160" s="34">
        <f t="shared" ca="1" si="8"/>
        <v>0</v>
      </c>
    </row>
    <row r="161" spans="7:11" x14ac:dyDescent="0.3">
      <c r="G161" s="14" cm="1">
        <f t="array" ref="G161">IFERROR(IF(D161,_xldudf_SCOTT_GL(OrgId,A161,0,YearStart-1),0)*F161,0)</f>
        <v>0</v>
      </c>
      <c r="H161" s="14">
        <f ca="1">IFERROR(SUM(IF(D161,_xldudf_SCOTT_GL(OrgId,A161,YearStart,PeriodEnd),_xldudf_SCOTT_GL(OrgId,A161,0,PeriodEnd)),IF(A161=XreCode,$G$5,0)),0)</f>
        <v>0</v>
      </c>
      <c r="I161" s="34">
        <f t="shared" ca="1" si="6"/>
        <v>0</v>
      </c>
      <c r="J161" s="34">
        <f t="shared" ca="1" si="7"/>
        <v>0</v>
      </c>
      <c r="K161" s="34">
        <f t="shared" ca="1" si="8"/>
        <v>0</v>
      </c>
    </row>
    <row r="162" spans="7:11" x14ac:dyDescent="0.3">
      <c r="G162" s="14" cm="1">
        <f t="array" ref="G162">IFERROR(IF(D162,_xldudf_SCOTT_GL(OrgId,A162,0,YearStart-1),0)*F162,0)</f>
        <v>0</v>
      </c>
      <c r="H162" s="14">
        <f ca="1">IFERROR(SUM(IF(D162,_xldudf_SCOTT_GL(OrgId,A162,YearStart,PeriodEnd),_xldudf_SCOTT_GL(OrgId,A162,0,PeriodEnd)),IF(A162=XreCode,$G$5,0)),0)</f>
        <v>0</v>
      </c>
      <c r="I162" s="34">
        <f t="shared" ca="1" si="6"/>
        <v>0</v>
      </c>
      <c r="J162" s="34">
        <f t="shared" ca="1" si="7"/>
        <v>0</v>
      </c>
      <c r="K162" s="34">
        <f t="shared" ca="1" si="8"/>
        <v>0</v>
      </c>
    </row>
    <row r="163" spans="7:11" x14ac:dyDescent="0.3">
      <c r="G163" s="14" cm="1">
        <f t="array" ref="G163">IFERROR(IF(D163,_xldudf_SCOTT_GL(OrgId,A163,0,YearStart-1),0)*F163,0)</f>
        <v>0</v>
      </c>
      <c r="H163" s="14">
        <f ca="1">IFERROR(SUM(IF(D163,_xldudf_SCOTT_GL(OrgId,A163,YearStart,PeriodEnd),_xldudf_SCOTT_GL(OrgId,A163,0,PeriodEnd)),IF(A163=XreCode,$G$5,0)),0)</f>
        <v>0</v>
      </c>
      <c r="I163" s="34">
        <f t="shared" ca="1" si="6"/>
        <v>0</v>
      </c>
      <c r="J163" s="34">
        <f t="shared" ca="1" si="7"/>
        <v>0</v>
      </c>
      <c r="K163" s="34">
        <f t="shared" ca="1" si="8"/>
        <v>0</v>
      </c>
    </row>
    <row r="164" spans="7:11" x14ac:dyDescent="0.3">
      <c r="G164" s="14" cm="1">
        <f t="array" ref="G164">IFERROR(IF(D164,_xldudf_SCOTT_GL(OrgId,A164,0,YearStart-1),0)*F164,0)</f>
        <v>0</v>
      </c>
      <c r="H164" s="14">
        <f ca="1">IFERROR(SUM(IF(D164,_xldudf_SCOTT_GL(OrgId,A164,YearStart,PeriodEnd),_xldudf_SCOTT_GL(OrgId,A164,0,PeriodEnd)),IF(A164=XreCode,$G$5,0)),0)</f>
        <v>0</v>
      </c>
      <c r="I164" s="34">
        <f t="shared" ca="1" si="6"/>
        <v>0</v>
      </c>
      <c r="J164" s="34">
        <f t="shared" ca="1" si="7"/>
        <v>0</v>
      </c>
      <c r="K164" s="34">
        <f t="shared" ca="1" si="8"/>
        <v>0</v>
      </c>
    </row>
    <row r="165" spans="7:11" x14ac:dyDescent="0.3">
      <c r="G165" s="14" cm="1">
        <f t="array" ref="G165">IFERROR(IF(D165,_xldudf_SCOTT_GL(OrgId,A165,0,YearStart-1),0)*F165,0)</f>
        <v>0</v>
      </c>
      <c r="H165" s="14">
        <f ca="1">IFERROR(SUM(IF(D165,_xldudf_SCOTT_GL(OrgId,A165,YearStart,PeriodEnd),_xldudf_SCOTT_GL(OrgId,A165,0,PeriodEnd)),IF(A165=XreCode,$G$5,0)),0)</f>
        <v>0</v>
      </c>
      <c r="I165" s="34">
        <f t="shared" ca="1" si="6"/>
        <v>0</v>
      </c>
      <c r="J165" s="34">
        <f t="shared" ca="1" si="7"/>
        <v>0</v>
      </c>
      <c r="K165" s="34">
        <f t="shared" ca="1" si="8"/>
        <v>0</v>
      </c>
    </row>
    <row r="166" spans="7:11" x14ac:dyDescent="0.3">
      <c r="G166" s="14" cm="1">
        <f t="array" ref="G166">IFERROR(IF(D166,_xldudf_SCOTT_GL(OrgId,A166,0,YearStart-1),0)*F166,0)</f>
        <v>0</v>
      </c>
      <c r="H166" s="14">
        <f ca="1">IFERROR(SUM(IF(D166,_xldudf_SCOTT_GL(OrgId,A166,YearStart,PeriodEnd),_xldudf_SCOTT_GL(OrgId,A166,0,PeriodEnd)),IF(A166=XreCode,$G$5,0)),0)</f>
        <v>0</v>
      </c>
      <c r="I166" s="34">
        <f t="shared" ca="1" si="6"/>
        <v>0</v>
      </c>
      <c r="J166" s="34">
        <f t="shared" ca="1" si="7"/>
        <v>0</v>
      </c>
      <c r="K166" s="34">
        <f t="shared" ca="1" si="8"/>
        <v>0</v>
      </c>
    </row>
    <row r="167" spans="7:11" x14ac:dyDescent="0.3">
      <c r="G167" s="14" cm="1">
        <f t="array" ref="G167">IFERROR(IF(D167,_xldudf_SCOTT_GL(OrgId,A167,0,YearStart-1),0)*F167,0)</f>
        <v>0</v>
      </c>
      <c r="H167" s="14">
        <f ca="1">IFERROR(SUM(IF(D167,_xldudf_SCOTT_GL(OrgId,A167,YearStart,PeriodEnd),_xldudf_SCOTT_GL(OrgId,A167,0,PeriodEnd)),IF(A167=XreCode,$G$5,0)),0)</f>
        <v>0</v>
      </c>
      <c r="I167" s="34">
        <f t="shared" ca="1" si="6"/>
        <v>0</v>
      </c>
      <c r="J167" s="34">
        <f t="shared" ca="1" si="7"/>
        <v>0</v>
      </c>
      <c r="K167" s="34">
        <f t="shared" ca="1" si="8"/>
        <v>0</v>
      </c>
    </row>
    <row r="168" spans="7:11" x14ac:dyDescent="0.3">
      <c r="G168" s="14" cm="1">
        <f t="array" ref="G168">IFERROR(IF(D168,_xldudf_SCOTT_GL(OrgId,A168,0,YearStart-1),0)*F168,0)</f>
        <v>0</v>
      </c>
      <c r="H168" s="14">
        <f ca="1">IFERROR(SUM(IF(D168,_xldudf_SCOTT_GL(OrgId,A168,YearStart,PeriodEnd),_xldudf_SCOTT_GL(OrgId,A168,0,PeriodEnd)),IF(A168=XreCode,$G$5,0)),0)</f>
        <v>0</v>
      </c>
      <c r="I168" s="34">
        <f t="shared" ca="1" si="6"/>
        <v>0</v>
      </c>
      <c r="J168" s="34">
        <f t="shared" ca="1" si="7"/>
        <v>0</v>
      </c>
      <c r="K168" s="34">
        <f t="shared" ca="1" si="8"/>
        <v>0</v>
      </c>
    </row>
    <row r="169" spans="7:11" x14ac:dyDescent="0.3">
      <c r="G169" s="14" cm="1">
        <f t="array" ref="G169">IFERROR(IF(D169,_xldudf_SCOTT_GL(OrgId,A169,0,YearStart-1),0)*F169,0)</f>
        <v>0</v>
      </c>
      <c r="H169" s="14">
        <f ca="1">IFERROR(SUM(IF(D169,_xldudf_SCOTT_GL(OrgId,A169,YearStart,PeriodEnd),_xldudf_SCOTT_GL(OrgId,A169,0,PeriodEnd)),IF(A169=XreCode,$G$5,0)),0)</f>
        <v>0</v>
      </c>
      <c r="I169" s="34">
        <f t="shared" ca="1" si="6"/>
        <v>0</v>
      </c>
      <c r="J169" s="34">
        <f t="shared" ca="1" si="7"/>
        <v>0</v>
      </c>
      <c r="K169" s="34">
        <f t="shared" ca="1" si="8"/>
        <v>0</v>
      </c>
    </row>
    <row r="170" spans="7:11" x14ac:dyDescent="0.3">
      <c r="G170" s="14" cm="1">
        <f t="array" ref="G170">IFERROR(IF(D170,_xldudf_SCOTT_GL(OrgId,A170,0,YearStart-1),0)*F170,0)</f>
        <v>0</v>
      </c>
      <c r="H170" s="14">
        <f ca="1">IFERROR(SUM(IF(D170,_xldudf_SCOTT_GL(OrgId,A170,YearStart,PeriodEnd),_xldudf_SCOTT_GL(OrgId,A170,0,PeriodEnd)),IF(A170=XreCode,$G$5,0)),0)</f>
        <v>0</v>
      </c>
      <c r="I170" s="34">
        <f t="shared" ca="1" si="6"/>
        <v>0</v>
      </c>
      <c r="J170" s="34">
        <f t="shared" ca="1" si="7"/>
        <v>0</v>
      </c>
      <c r="K170" s="34">
        <f t="shared" ca="1" si="8"/>
        <v>0</v>
      </c>
    </row>
    <row r="171" spans="7:11" x14ac:dyDescent="0.3">
      <c r="G171" s="14" cm="1">
        <f t="array" ref="G171">IFERROR(IF(D171,_xldudf_SCOTT_GL(OrgId,A171,0,YearStart-1),0)*F171,0)</f>
        <v>0</v>
      </c>
      <c r="H171" s="14">
        <f ca="1">IFERROR(SUM(IF(D171,_xldudf_SCOTT_GL(OrgId,A171,YearStart,PeriodEnd),_xldudf_SCOTT_GL(OrgId,A171,0,PeriodEnd)),IF(A171=XreCode,$G$5,0)),0)</f>
        <v>0</v>
      </c>
      <c r="I171" s="34">
        <f t="shared" ca="1" si="6"/>
        <v>0</v>
      </c>
      <c r="J171" s="34">
        <f t="shared" ca="1" si="7"/>
        <v>0</v>
      </c>
      <c r="K171" s="34">
        <f t="shared" ca="1" si="8"/>
        <v>0</v>
      </c>
    </row>
    <row r="172" spans="7:11" x14ac:dyDescent="0.3">
      <c r="G172" s="14" cm="1">
        <f t="array" ref="G172">IFERROR(IF(D172,_xldudf_SCOTT_GL(OrgId,A172,0,YearStart-1),0)*F172,0)</f>
        <v>0</v>
      </c>
      <c r="H172" s="14">
        <f ca="1">IFERROR(SUM(IF(D172,_xldudf_SCOTT_GL(OrgId,A172,YearStart,PeriodEnd),_xldudf_SCOTT_GL(OrgId,A172,0,PeriodEnd)),IF(A172=XreCode,$G$5,0)),0)</f>
        <v>0</v>
      </c>
      <c r="I172" s="34">
        <f t="shared" ca="1" si="6"/>
        <v>0</v>
      </c>
      <c r="J172" s="34">
        <f t="shared" ca="1" si="7"/>
        <v>0</v>
      </c>
      <c r="K172" s="34">
        <f t="shared" ca="1" si="8"/>
        <v>0</v>
      </c>
    </row>
    <row r="173" spans="7:11" x14ac:dyDescent="0.3">
      <c r="G173" s="14" cm="1">
        <f t="array" ref="G173">IFERROR(IF(D173,_xldudf_SCOTT_GL(OrgId,A173,0,YearStart-1),0)*F173,0)</f>
        <v>0</v>
      </c>
      <c r="H173" s="14">
        <f ca="1">IFERROR(SUM(IF(D173,_xldudf_SCOTT_GL(OrgId,A173,YearStart,PeriodEnd),_xldudf_SCOTT_GL(OrgId,A173,0,PeriodEnd)),IF(A173=XreCode,$G$5,0)),0)</f>
        <v>0</v>
      </c>
      <c r="I173" s="34">
        <f t="shared" ca="1" si="6"/>
        <v>0</v>
      </c>
      <c r="J173" s="34">
        <f t="shared" ca="1" si="7"/>
        <v>0</v>
      </c>
      <c r="K173" s="34">
        <f t="shared" ca="1" si="8"/>
        <v>0</v>
      </c>
    </row>
    <row r="174" spans="7:11" x14ac:dyDescent="0.3">
      <c r="G174" s="14" cm="1">
        <f t="array" ref="G174">IFERROR(IF(D174,_xldudf_SCOTT_GL(OrgId,A174,0,YearStart-1),0)*F174,0)</f>
        <v>0</v>
      </c>
      <c r="H174" s="14">
        <f ca="1">IFERROR(SUM(IF(D174,_xldudf_SCOTT_GL(OrgId,A174,YearStart,PeriodEnd),_xldudf_SCOTT_GL(OrgId,A174,0,PeriodEnd)),IF(A174=XreCode,$G$5,0)),0)</f>
        <v>0</v>
      </c>
      <c r="I174" s="34">
        <f t="shared" ca="1" si="6"/>
        <v>0</v>
      </c>
      <c r="J174" s="34">
        <f t="shared" ca="1" si="7"/>
        <v>0</v>
      </c>
      <c r="K174" s="34">
        <f t="shared" ca="1" si="8"/>
        <v>0</v>
      </c>
    </row>
    <row r="175" spans="7:11" x14ac:dyDescent="0.3">
      <c r="G175" s="14" cm="1">
        <f t="array" ref="G175">IFERROR(IF(D175,_xldudf_SCOTT_GL(OrgId,A175,0,YearStart-1),0)*F175,0)</f>
        <v>0</v>
      </c>
      <c r="H175" s="14">
        <f ca="1">IFERROR(SUM(IF(D175,_xldudf_SCOTT_GL(OrgId,A175,YearStart,PeriodEnd),_xldudf_SCOTT_GL(OrgId,A175,0,PeriodEnd)),IF(A175=XreCode,$G$5,0)),0)</f>
        <v>0</v>
      </c>
      <c r="I175" s="34">
        <f t="shared" ca="1" si="6"/>
        <v>0</v>
      </c>
      <c r="J175" s="34">
        <f t="shared" ca="1" si="7"/>
        <v>0</v>
      </c>
      <c r="K175" s="34">
        <f t="shared" ca="1" si="8"/>
        <v>0</v>
      </c>
    </row>
    <row r="176" spans="7:11" x14ac:dyDescent="0.3">
      <c r="G176" s="14" cm="1">
        <f t="array" ref="G176">IFERROR(IF(D176,_xldudf_SCOTT_GL(OrgId,A176,0,YearStart-1),0)*F176,0)</f>
        <v>0</v>
      </c>
      <c r="H176" s="14">
        <f ca="1">IFERROR(SUM(IF(D176,_xldudf_SCOTT_GL(OrgId,A176,YearStart,PeriodEnd),_xldudf_SCOTT_GL(OrgId,A176,0,PeriodEnd)),IF(A176=XreCode,$G$5,0)),0)</f>
        <v>0</v>
      </c>
      <c r="I176" s="34">
        <f t="shared" ca="1" si="6"/>
        <v>0</v>
      </c>
      <c r="J176" s="34">
        <f t="shared" ca="1" si="7"/>
        <v>0</v>
      </c>
      <c r="K176" s="34">
        <f t="shared" ca="1" si="8"/>
        <v>0</v>
      </c>
    </row>
    <row r="177" spans="7:11" x14ac:dyDescent="0.3">
      <c r="G177" s="14" cm="1">
        <f t="array" ref="G177">IFERROR(IF(D177,_xldudf_SCOTT_GL(OrgId,A177,0,YearStart-1),0)*F177,0)</f>
        <v>0</v>
      </c>
      <c r="H177" s="14">
        <f ca="1">IFERROR(SUM(IF(D177,_xldudf_SCOTT_GL(OrgId,A177,YearStart,PeriodEnd),_xldudf_SCOTT_GL(OrgId,A177,0,PeriodEnd)),IF(A177=XreCode,$G$5,0)),0)</f>
        <v>0</v>
      </c>
      <c r="I177" s="34">
        <f t="shared" ca="1" si="6"/>
        <v>0</v>
      </c>
      <c r="J177" s="34">
        <f t="shared" ca="1" si="7"/>
        <v>0</v>
      </c>
      <c r="K177" s="34">
        <f t="shared" ca="1" si="8"/>
        <v>0</v>
      </c>
    </row>
    <row r="178" spans="7:11" x14ac:dyDescent="0.3">
      <c r="G178" s="14" cm="1">
        <f t="array" ref="G178">IFERROR(IF(D178,_xldudf_SCOTT_GL(OrgId,A178,0,YearStart-1),0)*F178,0)</f>
        <v>0</v>
      </c>
      <c r="H178" s="14">
        <f ca="1">IFERROR(SUM(IF(D178,_xldudf_SCOTT_GL(OrgId,A178,YearStart,PeriodEnd),_xldudf_SCOTT_GL(OrgId,A178,0,PeriodEnd)),IF(A178=XreCode,$G$5,0)),0)</f>
        <v>0</v>
      </c>
      <c r="I178" s="34">
        <f t="shared" ca="1" si="6"/>
        <v>0</v>
      </c>
      <c r="J178" s="34">
        <f t="shared" ca="1" si="7"/>
        <v>0</v>
      </c>
      <c r="K178" s="34">
        <f t="shared" ca="1" si="8"/>
        <v>0</v>
      </c>
    </row>
    <row r="179" spans="7:11" x14ac:dyDescent="0.3">
      <c r="G179" s="14" cm="1">
        <f t="array" ref="G179">IFERROR(IF(D179,_xldudf_SCOTT_GL(OrgId,A179,0,YearStart-1),0)*F179,0)</f>
        <v>0</v>
      </c>
      <c r="H179" s="14">
        <f ca="1">IFERROR(SUM(IF(D179,_xldudf_SCOTT_GL(OrgId,A179,YearStart,PeriodEnd),_xldudf_SCOTT_GL(OrgId,A179,0,PeriodEnd)),IF(A179=XreCode,$G$5,0)),0)</f>
        <v>0</v>
      </c>
      <c r="I179" s="34">
        <f t="shared" ca="1" si="6"/>
        <v>0</v>
      </c>
      <c r="J179" s="34">
        <f t="shared" ca="1" si="7"/>
        <v>0</v>
      </c>
      <c r="K179" s="34">
        <f t="shared" ca="1" si="8"/>
        <v>0</v>
      </c>
    </row>
    <row r="180" spans="7:11" x14ac:dyDescent="0.3">
      <c r="G180" s="14" cm="1">
        <f t="array" ref="G180">IFERROR(IF(D180,_xldudf_SCOTT_GL(OrgId,A180,0,YearStart-1),0)*F180,0)</f>
        <v>0</v>
      </c>
      <c r="H180" s="14">
        <f ca="1">IFERROR(SUM(IF(D180,_xldudf_SCOTT_GL(OrgId,A180,YearStart,PeriodEnd),_xldudf_SCOTT_GL(OrgId,A180,0,PeriodEnd)),IF(A180=XreCode,$G$5,0)),0)</f>
        <v>0</v>
      </c>
      <c r="I180" s="34">
        <f t="shared" ca="1" si="6"/>
        <v>0</v>
      </c>
      <c r="J180" s="34">
        <f t="shared" ca="1" si="7"/>
        <v>0</v>
      </c>
      <c r="K180" s="34">
        <f t="shared" ca="1" si="8"/>
        <v>0</v>
      </c>
    </row>
    <row r="181" spans="7:11" x14ac:dyDescent="0.3">
      <c r="G181" s="14" cm="1">
        <f t="array" ref="G181">IFERROR(IF(D181,_xldudf_SCOTT_GL(OrgId,A181,0,YearStart-1),0)*F181,0)</f>
        <v>0</v>
      </c>
      <c r="H181" s="14">
        <f ca="1">IFERROR(SUM(IF(D181,_xldudf_SCOTT_GL(OrgId,A181,YearStart,PeriodEnd),_xldudf_SCOTT_GL(OrgId,A181,0,PeriodEnd)),IF(A181=XreCode,$G$5,0)),0)</f>
        <v>0</v>
      </c>
      <c r="I181" s="34">
        <f t="shared" ca="1" si="6"/>
        <v>0</v>
      </c>
      <c r="J181" s="34">
        <f t="shared" ca="1" si="7"/>
        <v>0</v>
      </c>
      <c r="K181" s="34">
        <f t="shared" ca="1" si="8"/>
        <v>0</v>
      </c>
    </row>
    <row r="182" spans="7:11" x14ac:dyDescent="0.3">
      <c r="G182" s="14" cm="1">
        <f t="array" ref="G182">IFERROR(IF(D182,_xldudf_SCOTT_GL(OrgId,A182,0,YearStart-1),0)*F182,0)</f>
        <v>0</v>
      </c>
      <c r="H182" s="14">
        <f ca="1">IFERROR(SUM(IF(D182,_xldudf_SCOTT_GL(OrgId,A182,YearStart,PeriodEnd),_xldudf_SCOTT_GL(OrgId,A182,0,PeriodEnd)),IF(A182=XreCode,$G$5,0)),0)</f>
        <v>0</v>
      </c>
      <c r="I182" s="34">
        <f t="shared" ca="1" si="6"/>
        <v>0</v>
      </c>
      <c r="J182" s="34">
        <f t="shared" ca="1" si="7"/>
        <v>0</v>
      </c>
      <c r="K182" s="34">
        <f t="shared" ca="1" si="8"/>
        <v>0</v>
      </c>
    </row>
    <row r="183" spans="7:11" x14ac:dyDescent="0.3">
      <c r="G183" s="14" cm="1">
        <f t="array" ref="G183">IFERROR(IF(D183,_xldudf_SCOTT_GL(OrgId,A183,0,YearStart-1),0)*F183,0)</f>
        <v>0</v>
      </c>
      <c r="H183" s="14">
        <f ca="1">IFERROR(SUM(IF(D183,_xldudf_SCOTT_GL(OrgId,A183,YearStart,PeriodEnd),_xldudf_SCOTT_GL(OrgId,A183,0,PeriodEnd)),IF(A183=XreCode,$G$5,0)),0)</f>
        <v>0</v>
      </c>
      <c r="I183" s="34">
        <f t="shared" ca="1" si="6"/>
        <v>0</v>
      </c>
      <c r="J183" s="34">
        <f t="shared" ca="1" si="7"/>
        <v>0</v>
      </c>
      <c r="K183" s="34">
        <f t="shared" ca="1" si="8"/>
        <v>0</v>
      </c>
    </row>
    <row r="184" spans="7:11" x14ac:dyDescent="0.3">
      <c r="G184" s="14" cm="1">
        <f t="array" ref="G184">IFERROR(IF(D184,_xldudf_SCOTT_GL(OrgId,A184,0,YearStart-1),0)*F184,0)</f>
        <v>0</v>
      </c>
      <c r="H184" s="14">
        <f ca="1">IFERROR(SUM(IF(D184,_xldudf_SCOTT_GL(OrgId,A184,YearStart,PeriodEnd),_xldudf_SCOTT_GL(OrgId,A184,0,PeriodEnd)),IF(A184=XreCode,$G$5,0)),0)</f>
        <v>0</v>
      </c>
      <c r="I184" s="34">
        <f t="shared" ca="1" si="6"/>
        <v>0</v>
      </c>
      <c r="J184" s="34">
        <f t="shared" ca="1" si="7"/>
        <v>0</v>
      </c>
      <c r="K184" s="34">
        <f t="shared" ca="1" si="8"/>
        <v>0</v>
      </c>
    </row>
    <row r="185" spans="7:11" x14ac:dyDescent="0.3">
      <c r="G185" s="14" cm="1">
        <f t="array" ref="G185">IFERROR(IF(D185,_xldudf_SCOTT_GL(OrgId,A185,0,YearStart-1),0)*F185,0)</f>
        <v>0</v>
      </c>
      <c r="H185" s="14">
        <f ca="1">IFERROR(SUM(IF(D185,_xldudf_SCOTT_GL(OrgId,A185,YearStart,PeriodEnd),_xldudf_SCOTT_GL(OrgId,A185,0,PeriodEnd)),IF(A185=XreCode,$G$5,0)),0)</f>
        <v>0</v>
      </c>
      <c r="I185" s="34">
        <f t="shared" ca="1" si="6"/>
        <v>0</v>
      </c>
      <c r="J185" s="34">
        <f t="shared" ca="1" si="7"/>
        <v>0</v>
      </c>
      <c r="K185" s="34">
        <f t="shared" ca="1" si="8"/>
        <v>0</v>
      </c>
    </row>
    <row r="186" spans="7:11" x14ac:dyDescent="0.3">
      <c r="G186" s="14" cm="1">
        <f t="array" ref="G186">IFERROR(IF(D186,_xldudf_SCOTT_GL(OrgId,A186,0,YearStart-1),0)*F186,0)</f>
        <v>0</v>
      </c>
      <c r="H186" s="14">
        <f ca="1">IFERROR(SUM(IF(D186,_xldudf_SCOTT_GL(OrgId,A186,YearStart,PeriodEnd),_xldudf_SCOTT_GL(OrgId,A186,0,PeriodEnd)),IF(A186=XreCode,$G$5,0)),0)</f>
        <v>0</v>
      </c>
      <c r="I186" s="34">
        <f t="shared" ca="1" si="6"/>
        <v>0</v>
      </c>
      <c r="J186" s="34">
        <f t="shared" ca="1" si="7"/>
        <v>0</v>
      </c>
      <c r="K186" s="34">
        <f t="shared" ca="1" si="8"/>
        <v>0</v>
      </c>
    </row>
    <row r="187" spans="7:11" x14ac:dyDescent="0.3">
      <c r="G187" s="14" cm="1">
        <f t="array" ref="G187">IFERROR(IF(D187,_xldudf_SCOTT_GL(OrgId,A187,0,YearStart-1),0)*F187,0)</f>
        <v>0</v>
      </c>
      <c r="H187" s="14">
        <f ca="1">IFERROR(SUM(IF(D187,_xldudf_SCOTT_GL(OrgId,A187,YearStart,PeriodEnd),_xldudf_SCOTT_GL(OrgId,A187,0,PeriodEnd)),IF(A187=XreCode,$G$5,0)),0)</f>
        <v>0</v>
      </c>
      <c r="I187" s="34">
        <f t="shared" ca="1" si="6"/>
        <v>0</v>
      </c>
      <c r="J187" s="34">
        <f t="shared" ca="1" si="7"/>
        <v>0</v>
      </c>
      <c r="K187" s="34">
        <f t="shared" ca="1" si="8"/>
        <v>0</v>
      </c>
    </row>
    <row r="188" spans="7:11" x14ac:dyDescent="0.3">
      <c r="G188" s="14" cm="1">
        <f t="array" ref="G188">IFERROR(IF(D188,_xldudf_SCOTT_GL(OrgId,A188,0,YearStart-1),0)*F188,0)</f>
        <v>0</v>
      </c>
      <c r="H188" s="14">
        <f ca="1">IFERROR(SUM(IF(D188,_xldudf_SCOTT_GL(OrgId,A188,YearStart,PeriodEnd),_xldudf_SCOTT_GL(OrgId,A188,0,PeriodEnd)),IF(A188=XreCode,$G$5,0)),0)</f>
        <v>0</v>
      </c>
      <c r="I188" s="34">
        <f t="shared" ca="1" si="6"/>
        <v>0</v>
      </c>
      <c r="J188" s="34">
        <f t="shared" ca="1" si="7"/>
        <v>0</v>
      </c>
      <c r="K188" s="34">
        <f t="shared" ca="1" si="8"/>
        <v>0</v>
      </c>
    </row>
    <row r="189" spans="7:11" x14ac:dyDescent="0.3">
      <c r="G189" s="14" cm="1">
        <f t="array" ref="G189">IFERROR(IF(D189,_xldudf_SCOTT_GL(OrgId,A189,0,YearStart-1),0)*F189,0)</f>
        <v>0</v>
      </c>
      <c r="H189" s="14">
        <f ca="1">IFERROR(SUM(IF(D189,_xldudf_SCOTT_GL(OrgId,A189,YearStart,PeriodEnd),_xldudf_SCOTT_GL(OrgId,A189,0,PeriodEnd)),IF(A189=XreCode,$G$5,0)),0)</f>
        <v>0</v>
      </c>
      <c r="I189" s="34">
        <f t="shared" ca="1" si="6"/>
        <v>0</v>
      </c>
      <c r="J189" s="34">
        <f t="shared" ca="1" si="7"/>
        <v>0</v>
      </c>
      <c r="K189" s="34">
        <f t="shared" ca="1" si="8"/>
        <v>0</v>
      </c>
    </row>
    <row r="190" spans="7:11" x14ac:dyDescent="0.3">
      <c r="G190" s="14" cm="1">
        <f t="array" ref="G190">IFERROR(IF(D190,_xldudf_SCOTT_GL(OrgId,A190,0,YearStart-1),0)*F190,0)</f>
        <v>0</v>
      </c>
      <c r="H190" s="14">
        <f ca="1">IFERROR(SUM(IF(D190,_xldudf_SCOTT_GL(OrgId,A190,YearStart,PeriodEnd),_xldudf_SCOTT_GL(OrgId,A190,0,PeriodEnd)),IF(A190=XreCode,$G$5,0)),0)</f>
        <v>0</v>
      </c>
      <c r="I190" s="34">
        <f t="shared" ca="1" si="6"/>
        <v>0</v>
      </c>
      <c r="J190" s="34">
        <f t="shared" ca="1" si="7"/>
        <v>0</v>
      </c>
      <c r="K190" s="34">
        <f t="shared" ca="1" si="8"/>
        <v>0</v>
      </c>
    </row>
    <row r="191" spans="7:11" x14ac:dyDescent="0.3">
      <c r="G191" s="14" cm="1">
        <f t="array" ref="G191">IFERROR(IF(D191,_xldudf_SCOTT_GL(OrgId,A191,0,YearStart-1),0)*F191,0)</f>
        <v>0</v>
      </c>
      <c r="H191" s="14">
        <f ca="1">IFERROR(SUM(IF(D191,_xldudf_SCOTT_GL(OrgId,A191,YearStart,PeriodEnd),_xldudf_SCOTT_GL(OrgId,A191,0,PeriodEnd)),IF(A191=XreCode,$G$5,0)),0)</f>
        <v>0</v>
      </c>
      <c r="I191" s="34">
        <f t="shared" ca="1" si="6"/>
        <v>0</v>
      </c>
      <c r="J191" s="34">
        <f t="shared" ca="1" si="7"/>
        <v>0</v>
      </c>
      <c r="K191" s="34">
        <f t="shared" ca="1" si="8"/>
        <v>0</v>
      </c>
    </row>
    <row r="192" spans="7:11" x14ac:dyDescent="0.3">
      <c r="G192" s="14" cm="1">
        <f t="array" ref="G192">IFERROR(IF(D192,_xldudf_SCOTT_GL(OrgId,A192,0,YearStart-1),0)*F192,0)</f>
        <v>0</v>
      </c>
      <c r="H192" s="14">
        <f ca="1">IFERROR(SUM(IF(D192,_xldudf_SCOTT_GL(OrgId,A192,YearStart,PeriodEnd),_xldudf_SCOTT_GL(OrgId,A192,0,PeriodEnd)),IF(A192=XreCode,$G$5,0)),0)</f>
        <v>0</v>
      </c>
      <c r="I192" s="34">
        <f t="shared" ca="1" si="6"/>
        <v>0</v>
      </c>
      <c r="J192" s="34">
        <f t="shared" ca="1" si="7"/>
        <v>0</v>
      </c>
      <c r="K192" s="34">
        <f t="shared" ca="1" si="8"/>
        <v>0</v>
      </c>
    </row>
    <row r="193" spans="7:11" x14ac:dyDescent="0.3">
      <c r="G193" s="14" cm="1">
        <f t="array" ref="G193">IFERROR(IF(D193,_xldudf_SCOTT_GL(OrgId,A193,0,YearStart-1),0)*F193,0)</f>
        <v>0</v>
      </c>
      <c r="H193" s="14">
        <f ca="1">IFERROR(SUM(IF(D193,_xldudf_SCOTT_GL(OrgId,A193,YearStart,PeriodEnd),_xldudf_SCOTT_GL(OrgId,A193,0,PeriodEnd)),IF(A193=XreCode,$G$5,0)),0)</f>
        <v>0</v>
      </c>
      <c r="I193" s="34">
        <f t="shared" ca="1" si="6"/>
        <v>0</v>
      </c>
      <c r="J193" s="34">
        <f t="shared" ca="1" si="7"/>
        <v>0</v>
      </c>
      <c r="K193" s="34">
        <f t="shared" ca="1" si="8"/>
        <v>0</v>
      </c>
    </row>
    <row r="194" spans="7:11" x14ac:dyDescent="0.3">
      <c r="G194" s="14" cm="1">
        <f t="array" ref="G194">IFERROR(IF(D194,_xldudf_SCOTT_GL(OrgId,A194,0,YearStart-1),0)*F194,0)</f>
        <v>0</v>
      </c>
      <c r="H194" s="14">
        <f ca="1">IFERROR(SUM(IF(D194,_xldudf_SCOTT_GL(OrgId,A194,YearStart,PeriodEnd),_xldudf_SCOTT_GL(OrgId,A194,0,PeriodEnd)),IF(A194=XreCode,$G$5,0)),0)</f>
        <v>0</v>
      </c>
      <c r="I194" s="34">
        <f t="shared" ca="1" si="6"/>
        <v>0</v>
      </c>
      <c r="J194" s="34">
        <f t="shared" ca="1" si="7"/>
        <v>0</v>
      </c>
      <c r="K194" s="34">
        <f t="shared" ca="1" si="8"/>
        <v>0</v>
      </c>
    </row>
    <row r="195" spans="7:11" x14ac:dyDescent="0.3">
      <c r="G195" s="14" cm="1">
        <f t="array" ref="G195">IFERROR(IF(D195,_xldudf_SCOTT_GL(OrgId,A195,0,YearStart-1),0)*F195,0)</f>
        <v>0</v>
      </c>
      <c r="H195" s="14">
        <f ca="1">IFERROR(SUM(IF(D195,_xldudf_SCOTT_GL(OrgId,A195,YearStart,PeriodEnd),_xldudf_SCOTT_GL(OrgId,A195,0,PeriodEnd)),IF(A195=XreCode,$G$5,0)),0)</f>
        <v>0</v>
      </c>
      <c r="I195" s="34">
        <f t="shared" ca="1" si="6"/>
        <v>0</v>
      </c>
      <c r="J195" s="34">
        <f t="shared" ca="1" si="7"/>
        <v>0</v>
      </c>
      <c r="K195" s="34">
        <f t="shared" ca="1" si="8"/>
        <v>0</v>
      </c>
    </row>
    <row r="196" spans="7:11" x14ac:dyDescent="0.3">
      <c r="G196" s="14" cm="1">
        <f t="array" ref="G196">IFERROR(IF(D196,_xldudf_SCOTT_GL(OrgId,A196,0,YearStart-1),0)*F196,0)</f>
        <v>0</v>
      </c>
      <c r="H196" s="14">
        <f ca="1">IFERROR(SUM(IF(D196,_xldudf_SCOTT_GL(OrgId,A196,YearStart,PeriodEnd),_xldudf_SCOTT_GL(OrgId,A196,0,PeriodEnd)),IF(A196=XreCode,$G$5,0)),0)</f>
        <v>0</v>
      </c>
      <c r="I196" s="34">
        <f t="shared" ca="1" si="6"/>
        <v>0</v>
      </c>
      <c r="J196" s="34">
        <f t="shared" ca="1" si="7"/>
        <v>0</v>
      </c>
      <c r="K196" s="34">
        <f t="shared" ca="1" si="8"/>
        <v>0</v>
      </c>
    </row>
    <row r="197" spans="7:11" x14ac:dyDescent="0.3">
      <c r="G197" s="14" cm="1">
        <f t="array" ref="G197">IFERROR(IF(D197,_xldudf_SCOTT_GL(OrgId,A197,0,YearStart-1),0)*F197,0)</f>
        <v>0</v>
      </c>
      <c r="H197" s="14">
        <f ca="1">IFERROR(SUM(IF(D197,_xldudf_SCOTT_GL(OrgId,A197,YearStart,PeriodEnd),_xldudf_SCOTT_GL(OrgId,A197,0,PeriodEnd)),IF(A197=XreCode,$G$5,0)),0)</f>
        <v>0</v>
      </c>
      <c r="I197" s="34">
        <f t="shared" ca="1" si="6"/>
        <v>0</v>
      </c>
      <c r="J197" s="34">
        <f t="shared" ca="1" si="7"/>
        <v>0</v>
      </c>
      <c r="K197" s="34">
        <f t="shared" ca="1" si="8"/>
        <v>0</v>
      </c>
    </row>
    <row r="198" spans="7:11" x14ac:dyDescent="0.3">
      <c r="G198" s="14" cm="1">
        <f t="array" ref="G198">IFERROR(IF(D198,_xldudf_SCOTT_GL(OrgId,A198,0,YearStart-1),0)*F198,0)</f>
        <v>0</v>
      </c>
      <c r="H198" s="14">
        <f ca="1">IFERROR(SUM(IF(D198,_xldudf_SCOTT_GL(OrgId,A198,YearStart,PeriodEnd),_xldudf_SCOTT_GL(OrgId,A198,0,PeriodEnd)),IF(A198=XreCode,$G$5,0)),0)</f>
        <v>0</v>
      </c>
      <c r="I198" s="34">
        <f t="shared" ca="1" si="6"/>
        <v>0</v>
      </c>
      <c r="J198" s="34">
        <f t="shared" ca="1" si="7"/>
        <v>0</v>
      </c>
      <c r="K198" s="34">
        <f t="shared" ca="1" si="8"/>
        <v>0</v>
      </c>
    </row>
    <row r="199" spans="7:11" x14ac:dyDescent="0.3">
      <c r="G199" s="14" cm="1">
        <f t="array" ref="G199">IFERROR(IF(D199,_xldudf_SCOTT_GL(OrgId,A199,0,YearStart-1),0)*F199,0)</f>
        <v>0</v>
      </c>
      <c r="H199" s="14">
        <f ca="1">IFERROR(SUM(IF(D199,_xldudf_SCOTT_GL(OrgId,A199,YearStart,PeriodEnd),_xldudf_SCOTT_GL(OrgId,A199,0,PeriodEnd)),IF(A199=XreCode,$G$5,0)),0)</f>
        <v>0</v>
      </c>
      <c r="I199" s="34">
        <f t="shared" ca="1" si="6"/>
        <v>0</v>
      </c>
      <c r="J199" s="34">
        <f t="shared" ca="1" si="7"/>
        <v>0</v>
      </c>
      <c r="K199" s="34">
        <f t="shared" ca="1" si="8"/>
        <v>0</v>
      </c>
    </row>
    <row r="200" spans="7:11" x14ac:dyDescent="0.3">
      <c r="G200" s="14" cm="1">
        <f t="array" ref="G200">IFERROR(IF(D200,_xldudf_SCOTT_GL(OrgId,A200,0,YearStart-1),0)*F200,0)</f>
        <v>0</v>
      </c>
      <c r="H200" s="14">
        <f ca="1">IFERROR(SUM(IF(D200,_xldudf_SCOTT_GL(OrgId,A200,YearStart,PeriodEnd),_xldudf_SCOTT_GL(OrgId,A200,0,PeriodEnd)),IF(A200=XreCode,$G$5,0)),0)</f>
        <v>0</v>
      </c>
      <c r="I200" s="34">
        <f t="shared" ca="1" si="6"/>
        <v>0</v>
      </c>
      <c r="J200" s="34">
        <f t="shared" ca="1" si="7"/>
        <v>0</v>
      </c>
      <c r="K200" s="34">
        <f t="shared" ca="1" si="8"/>
        <v>0</v>
      </c>
    </row>
  </sheetData>
  <conditionalFormatting sqref="K5">
    <cfRule type="expression" dxfId="0" priority="1">
      <formula>$K$5&lt;&gt;0</formula>
    </cfRule>
  </conditionalFormatting>
  <pageMargins left="0.7" right="0.7" top="0.75" bottom="0.75" header="0.3" footer="0.3"/>
  <pageSetup orientation="landscape" r:id="rId1"/>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71DC5E-A4C7-4CE9-932D-3A0E20E44B68}">
  <sheetPr codeName="Sheet4"/>
  <dimension ref="A1:F18"/>
  <sheetViews>
    <sheetView zoomScale="110" zoomScaleNormal="110" workbookViewId="0">
      <selection activeCell="H1" sqref="H1"/>
    </sheetView>
  </sheetViews>
  <sheetFormatPr defaultColWidth="8.88671875" defaultRowHeight="14.4" x14ac:dyDescent="0.3"/>
  <cols>
    <col min="1" max="1" width="13.77734375" bestFit="1" customWidth="1"/>
    <col min="2" max="2" width="18.77734375" customWidth="1"/>
  </cols>
  <sheetData>
    <row r="1" spans="1:6" x14ac:dyDescent="0.3">
      <c r="A1" t="s">
        <v>32</v>
      </c>
      <c r="B1" t="s">
        <v>33</v>
      </c>
      <c r="C1" t="s">
        <v>34</v>
      </c>
      <c r="D1" t="s">
        <v>15</v>
      </c>
      <c r="E1" t="s">
        <v>80</v>
      </c>
      <c r="F1" t="s">
        <v>55</v>
      </c>
    </row>
    <row r="2" spans="1:6" x14ac:dyDescent="0.3">
      <c r="A2" t="s">
        <v>3</v>
      </c>
      <c r="B2" t="s">
        <v>35</v>
      </c>
      <c r="C2">
        <v>1</v>
      </c>
      <c r="D2" t="b">
        <v>0</v>
      </c>
      <c r="E2">
        <v>1</v>
      </c>
      <c r="F2">
        <v>0</v>
      </c>
    </row>
    <row r="3" spans="1:6" x14ac:dyDescent="0.3">
      <c r="A3" t="s">
        <v>4</v>
      </c>
      <c r="B3" t="s">
        <v>36</v>
      </c>
      <c r="C3">
        <v>1</v>
      </c>
      <c r="D3" t="b">
        <v>0</v>
      </c>
      <c r="E3">
        <v>1</v>
      </c>
      <c r="F3">
        <v>0</v>
      </c>
    </row>
    <row r="4" spans="1:6" x14ac:dyDescent="0.3">
      <c r="A4" t="s">
        <v>9</v>
      </c>
      <c r="B4" t="s">
        <v>37</v>
      </c>
      <c r="C4">
        <v>1</v>
      </c>
      <c r="D4" t="b">
        <v>0</v>
      </c>
      <c r="E4">
        <v>1</v>
      </c>
      <c r="F4">
        <v>0</v>
      </c>
    </row>
    <row r="5" spans="1:6" x14ac:dyDescent="0.3">
      <c r="A5" t="s">
        <v>10</v>
      </c>
      <c r="B5" t="s">
        <v>52</v>
      </c>
      <c r="C5">
        <v>1</v>
      </c>
      <c r="D5" t="b">
        <v>0</v>
      </c>
      <c r="E5">
        <v>1</v>
      </c>
      <c r="F5">
        <v>0</v>
      </c>
    </row>
    <row r="6" spans="1:6" x14ac:dyDescent="0.3">
      <c r="A6" t="s">
        <v>11</v>
      </c>
      <c r="B6" t="s">
        <v>38</v>
      </c>
      <c r="C6">
        <v>1</v>
      </c>
      <c r="D6" t="b">
        <v>0</v>
      </c>
      <c r="E6">
        <v>1</v>
      </c>
      <c r="F6">
        <v>0</v>
      </c>
    </row>
    <row r="7" spans="1:6" x14ac:dyDescent="0.3">
      <c r="A7" t="s">
        <v>39</v>
      </c>
      <c r="B7" t="s">
        <v>20</v>
      </c>
      <c r="C7">
        <v>1</v>
      </c>
      <c r="D7" t="b">
        <v>0</v>
      </c>
      <c r="E7">
        <v>1</v>
      </c>
      <c r="F7">
        <v>0</v>
      </c>
    </row>
    <row r="8" spans="1:6" x14ac:dyDescent="0.3">
      <c r="A8" t="s">
        <v>7</v>
      </c>
      <c r="B8" t="s">
        <v>40</v>
      </c>
      <c r="C8">
        <v>3</v>
      </c>
      <c r="D8" t="b">
        <v>0</v>
      </c>
      <c r="E8">
        <v>-1</v>
      </c>
      <c r="F8">
        <v>0</v>
      </c>
    </row>
    <row r="9" spans="1:6" x14ac:dyDescent="0.3">
      <c r="A9" t="s">
        <v>6</v>
      </c>
      <c r="B9" t="s">
        <v>41</v>
      </c>
      <c r="C9">
        <v>5</v>
      </c>
      <c r="D9" t="b">
        <v>1</v>
      </c>
      <c r="E9">
        <v>1</v>
      </c>
      <c r="F9">
        <v>-1</v>
      </c>
    </row>
    <row r="10" spans="1:6" x14ac:dyDescent="0.3">
      <c r="A10" t="s">
        <v>18</v>
      </c>
      <c r="B10" t="s">
        <v>42</v>
      </c>
      <c r="C10">
        <v>5</v>
      </c>
      <c r="D10" t="b">
        <v>1</v>
      </c>
      <c r="E10">
        <v>1</v>
      </c>
      <c r="F10">
        <v>-1</v>
      </c>
    </row>
    <row r="11" spans="1:6" x14ac:dyDescent="0.3">
      <c r="A11" t="s">
        <v>8</v>
      </c>
      <c r="B11" t="s">
        <v>43</v>
      </c>
      <c r="C11">
        <v>5</v>
      </c>
      <c r="D11" t="b">
        <v>1</v>
      </c>
      <c r="E11">
        <v>1</v>
      </c>
      <c r="F11">
        <v>-1</v>
      </c>
    </row>
    <row r="12" spans="1:6" x14ac:dyDescent="0.3">
      <c r="A12" t="s">
        <v>12</v>
      </c>
      <c r="B12" t="s">
        <v>44</v>
      </c>
      <c r="C12">
        <v>5</v>
      </c>
      <c r="D12" t="b">
        <v>1</v>
      </c>
      <c r="E12">
        <v>1</v>
      </c>
      <c r="F12">
        <v>-1</v>
      </c>
    </row>
    <row r="13" spans="1:6" x14ac:dyDescent="0.3">
      <c r="A13" t="s">
        <v>5</v>
      </c>
      <c r="B13" t="s">
        <v>45</v>
      </c>
      <c r="C13">
        <v>2</v>
      </c>
      <c r="D13" t="b">
        <v>0</v>
      </c>
      <c r="E13">
        <v>-1</v>
      </c>
      <c r="F13">
        <v>0</v>
      </c>
    </row>
    <row r="14" spans="1:6" x14ac:dyDescent="0.3">
      <c r="A14" t="s">
        <v>46</v>
      </c>
      <c r="B14" t="s">
        <v>47</v>
      </c>
      <c r="C14">
        <v>2</v>
      </c>
      <c r="D14" t="b">
        <v>0</v>
      </c>
      <c r="E14">
        <v>-1</v>
      </c>
      <c r="F14">
        <v>0</v>
      </c>
    </row>
    <row r="15" spans="1:6" x14ac:dyDescent="0.3">
      <c r="A15" t="s">
        <v>14</v>
      </c>
      <c r="B15" t="s">
        <v>48</v>
      </c>
      <c r="C15">
        <v>2</v>
      </c>
      <c r="D15" t="b">
        <v>0</v>
      </c>
      <c r="E15">
        <v>-1</v>
      </c>
      <c r="F15">
        <v>0</v>
      </c>
    </row>
    <row r="16" spans="1:6" x14ac:dyDescent="0.3">
      <c r="A16" t="s">
        <v>19</v>
      </c>
      <c r="B16" t="s">
        <v>49</v>
      </c>
      <c r="C16">
        <v>4</v>
      </c>
      <c r="D16" t="b">
        <v>1</v>
      </c>
      <c r="E16">
        <v>-1</v>
      </c>
      <c r="F16">
        <v>1</v>
      </c>
    </row>
    <row r="17" spans="1:6" x14ac:dyDescent="0.3">
      <c r="A17" t="s">
        <v>13</v>
      </c>
      <c r="B17" t="s">
        <v>50</v>
      </c>
      <c r="C17">
        <v>4</v>
      </c>
      <c r="D17" t="b">
        <v>1</v>
      </c>
      <c r="E17">
        <v>-1</v>
      </c>
      <c r="F17">
        <v>1</v>
      </c>
    </row>
    <row r="18" spans="1:6" x14ac:dyDescent="0.3">
      <c r="A18" t="s">
        <v>51</v>
      </c>
      <c r="B18" t="s">
        <v>21</v>
      </c>
      <c r="C18">
        <v>4</v>
      </c>
      <c r="D18" t="b">
        <v>1</v>
      </c>
      <c r="E18">
        <v>-1</v>
      </c>
      <c r="F18">
        <v>1</v>
      </c>
    </row>
  </sheetData>
  <pageMargins left="0.7" right="0.7" top="0.75" bottom="0.75" header="0.3" footer="0.3"/>
  <tableParts count="1">
    <tablePart r:id="rId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5EEDC4-518D-4094-A4A1-6FD0453CCBEE}">
  <sheetPr codeName="Sheet5"/>
  <dimension ref="A1:E6"/>
  <sheetViews>
    <sheetView zoomScale="110" zoomScaleNormal="110" workbookViewId="0">
      <selection activeCell="G1" sqref="G1"/>
    </sheetView>
  </sheetViews>
  <sheetFormatPr defaultRowHeight="14.4" x14ac:dyDescent="0.3"/>
  <cols>
    <col min="1" max="1" width="8.88671875" customWidth="1"/>
    <col min="2" max="2" width="26.77734375" customWidth="1"/>
    <col min="3" max="3" width="13.77734375" customWidth="1"/>
    <col min="5" max="5" width="13.77734375" customWidth="1"/>
  </cols>
  <sheetData>
    <row r="1" spans="1:5" x14ac:dyDescent="0.3">
      <c r="A1" t="s">
        <v>53</v>
      </c>
      <c r="B1" t="s">
        <v>54</v>
      </c>
      <c r="C1" t="s">
        <v>33</v>
      </c>
      <c r="D1" t="s">
        <v>55</v>
      </c>
      <c r="E1" t="s">
        <v>76</v>
      </c>
    </row>
    <row r="2" spans="1:5" x14ac:dyDescent="0.3">
      <c r="A2">
        <v>810</v>
      </c>
      <c r="B2" t="str" cm="1">
        <f t="array" ref="B2">_xldudf_SCOTT_DESC(OrgId,tblArchived[[#This Row],[Code]])</f>
        <v>Bank Revaluations</v>
      </c>
      <c r="C2" t="s">
        <v>8</v>
      </c>
      <c r="D2">
        <f>_xlfn.XLOOKUP(tblArchived[[#This Row],[Type]],tblTypes[ID],tblTypes[XRE],0)</f>
        <v>-1</v>
      </c>
      <c r="E2" s="3" cm="1">
        <f t="array" aca="1" ref="E2" ca="1">IFERROR(_xldudf_SCOTT_GL(OrgId,tblArchived[[#This Row],[Code]],0,YearStart-1),0)*tblArchived[[#This Row],[XRE]]</f>
        <v>0</v>
      </c>
    </row>
    <row r="3" spans="1:5" x14ac:dyDescent="0.3">
      <c r="A3">
        <v>815</v>
      </c>
      <c r="B3" t="str" cm="1">
        <f t="array" ref="B3">_xldudf_SCOTT_DESC(OrgId,tblArchived[[#This Row],[Code]])</f>
        <v>Unrealized Currency Gains</v>
      </c>
      <c r="C3" t="s">
        <v>8</v>
      </c>
      <c r="D3">
        <f>_xlfn.XLOOKUP(tblArchived[[#This Row],[Type]],tblTypes[ID],tblTypes[XRE],0)</f>
        <v>-1</v>
      </c>
      <c r="E3" s="3" cm="1">
        <f t="array" aca="1" ref="E3" ca="1">IFERROR(_xldudf_SCOTT_GL(OrgId,tblArchived[[#This Row],[Code]],0,YearStart-1),0)*tblArchived[[#This Row],[XRE]]</f>
        <v>0</v>
      </c>
    </row>
    <row r="4" spans="1:5" x14ac:dyDescent="0.3">
      <c r="A4">
        <v>820</v>
      </c>
      <c r="B4" t="str" cm="1">
        <f t="array" ref="B4">_xldudf_SCOTT_DESC(OrgId,tblArchived[[#This Row],[Code]])</f>
        <v>Realized Currency Gains</v>
      </c>
      <c r="C4" t="s">
        <v>8</v>
      </c>
      <c r="D4">
        <f>_xlfn.XLOOKUP(tblArchived[[#This Row],[Type]],tblTypes[ID],tblTypes[XRE],0)</f>
        <v>-1</v>
      </c>
      <c r="E4" s="3" cm="1">
        <f t="array" aca="1" ref="E4" ca="1">IFERROR(_xldudf_SCOTT_GL(OrgId,tblArchived[[#This Row],[Code]],0,YearStart-1),0)*tblArchived[[#This Row],[XRE]]</f>
        <v>0</v>
      </c>
    </row>
    <row r="5" spans="1:5" x14ac:dyDescent="0.3">
      <c r="A5">
        <v>5303</v>
      </c>
      <c r="B5" t="str" cm="1">
        <f t="array" ref="B5">_xldudf_SCOTT_DESC(OrgId,tblArchived[[#This Row],[Code]])</f>
        <v>Office Supplies</v>
      </c>
      <c r="C5" t="s">
        <v>8</v>
      </c>
      <c r="D5">
        <f>_xlfn.XLOOKUP(tblArchived[[#This Row],[Type]],tblTypes[ID],tblTypes[XRE],0)</f>
        <v>-1</v>
      </c>
      <c r="E5" s="3" cm="1">
        <f t="array" aca="1" ref="E5" ca="1">IFERROR(_xldudf_SCOTT_GL(OrgId,tblArchived[[#This Row],[Code]],0,YearStart-1),0)*tblArchived[[#This Row],[XRE]]</f>
        <v>-1052.6300000000001</v>
      </c>
    </row>
    <row r="6" spans="1:5" x14ac:dyDescent="0.3">
      <c r="A6">
        <v>5503</v>
      </c>
      <c r="B6" t="str" cm="1">
        <f t="array" ref="B6">_xldudf_SCOTT_DESC(OrgId,tblArchived[[#This Row],[Code]])</f>
        <v>Web Hosting</v>
      </c>
      <c r="C6" t="s">
        <v>8</v>
      </c>
      <c r="D6">
        <f>_xlfn.XLOOKUP(tblArchived[[#This Row],[Type]],tblTypes[ID],tblTypes[XRE],0)</f>
        <v>-1</v>
      </c>
      <c r="E6" s="3" cm="1">
        <f t="array" aca="1" ref="E6" ca="1">IFERROR(_xldudf_SCOTT_GL(OrgId,tblArchived[[#This Row],[Code]],0,YearStart-1),0)*tblArchived[[#This Row],[XRE]]</f>
        <v>-1299.83</v>
      </c>
    </row>
  </sheetData>
  <dataValidations count="1">
    <dataValidation type="list" showInputMessage="1" showErrorMessage="1" errorTitle="Invalid Entry" error="Please select an option from the pick-list provided." sqref="C2:C6" xr:uid="{E8CF18EC-8C60-4046-A2BA-0BC1AEC314E1}">
      <formula1>typId</formula1>
    </dataValidation>
  </dataValidations>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Document_x0020_Purpose xmlns="f577acbf-5b0b-4b4f-9948-268e97f8d3a4">Informational</Document_x0020_Purpose>
    <Initiatives xmlns="f577acbf-5b0b-4b4f-9948-268e97f8d3a4"/>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CD401524DC532D42A0E0ED886331A72B" ma:contentTypeVersion="13" ma:contentTypeDescription="Create a new document." ma:contentTypeScope="" ma:versionID="d936d863d335d354da51eb78ca1ae338">
  <xsd:schema xmlns:xsd="http://www.w3.org/2001/XMLSchema" xmlns:xs="http://www.w3.org/2001/XMLSchema" xmlns:p="http://schemas.microsoft.com/office/2006/metadata/properties" xmlns:ns2="f577acbf-5b0b-4b4f-9948-268e97f8d3a4" xmlns:ns3="b1e4d6ee-9f6f-43f8-a618-24f3d84da28f" targetNamespace="http://schemas.microsoft.com/office/2006/metadata/properties" ma:root="true" ma:fieldsID="5fbac08d56b1b04aa33acbc31e882ce9" ns2:_="" ns3:_="">
    <xsd:import namespace="f577acbf-5b0b-4b4f-9948-268e97f8d3a4"/>
    <xsd:import namespace="b1e4d6ee-9f6f-43f8-a618-24f3d84da28f"/>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3:LastSharedByUser" minOccurs="0"/>
                <xsd:element ref="ns3:LastSharedByTime" minOccurs="0"/>
                <xsd:element ref="ns2:Document_x0020_Purpose" minOccurs="0"/>
                <xsd:element ref="ns2:Initiatives" minOccurs="0"/>
                <xsd:element ref="ns2:MediaServiceDateTaken" minOccurs="0"/>
                <xsd:element ref="ns2:MediaServiceAutoTags"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577acbf-5b0b-4b4f-9948-268e97f8d3a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Document_x0020_Purpose" ma:index="14" nillable="true" ma:displayName="Document Purpose" ma:default="Informational" ma:format="Dropdown" ma:internalName="Document_x0020_Purpose">
      <xsd:simpleType>
        <xsd:restriction base="dms:Choice">
          <xsd:enumeration value="Informational"/>
          <xsd:enumeration value="Feature Spec"/>
          <xsd:enumeration value="Engineering Design"/>
          <xsd:enumeration value="Planning"/>
        </xsd:restriction>
      </xsd:simpleType>
    </xsd:element>
    <xsd:element name="Initiatives" ma:index="15" nillable="true" ma:displayName="Initiatives" ma:description="List of initiatives related to this document" ma:internalName="Initiatives">
      <xsd:complexType>
        <xsd:complexContent>
          <xsd:extension base="dms:MultiChoice">
            <xsd:sequence>
              <xsd:element name="Value" maxOccurs="unbounded" minOccurs="0" nillable="true">
                <xsd:simpleType>
                  <xsd:restriction base="dms:Choice">
                    <xsd:enumeration value="Add-in MAU"/>
                    <xsd:enumeration value="Custom Functions"/>
                    <xsd:enumeration value="Data &amp; Analytics"/>
                    <xsd:enumeration value="DevEx: Portals &amp; Programs"/>
                    <xsd:enumeration value="DevEx: Tools &amp; Libraries"/>
                    <xsd:enumeration value="Engineering"/>
                    <xsd:enumeration value="Excel API"/>
                    <xsd:enumeration value="In-Market Support"/>
                    <xsd:enumeration value="Maker Access"/>
                    <xsd:enumeration value="SDX Runtime &amp; Partners"/>
                    <xsd:enumeration value="SDX Service Delivery"/>
                    <xsd:enumeration value="SDX API &amp; Pipeline"/>
                    <xsd:enumeration value="Shield &amp; OCE"/>
                  </xsd:restriction>
                </xsd:simpleType>
              </xsd:element>
            </xsd:sequence>
          </xsd:extension>
        </xsd:complexContent>
      </xsd:complexType>
    </xsd:element>
    <xsd:element name="MediaServiceDateTaken" ma:index="16" nillable="true" ma:displayName="MediaServiceDateTaken" ma:hidden="true" ma:internalName="MediaServiceDateTaken" ma:readOnly="true">
      <xsd:simpleType>
        <xsd:restriction base="dms:Text"/>
      </xsd:simpleType>
    </xsd:element>
    <xsd:element name="MediaServiceAutoTags" ma:index="17" nillable="true" ma:displayName="MediaServiceAutoTags" ma:internalName="MediaServiceAutoTags" ma:readOnly="true">
      <xsd:simpleType>
        <xsd:restriction base="dms:Text"/>
      </xsd:simpleType>
    </xsd:element>
    <xsd:element name="MediaServiceOCR" ma:index="18" nillable="true" ma:displayName="MediaServiceOCR" ma:internalName="MediaServiceOCR" ma:readOnly="true">
      <xsd:simpleType>
        <xsd:restriction base="dms:Note">
          <xsd:maxLength value="255"/>
        </xsd:restriction>
      </xsd:simpleType>
    </xsd:element>
    <xsd:element name="MediaServiceLocation" ma:index="19" nillable="true" ma:displayName="MediaServic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1e4d6ee-9f6f-43f8-a618-24f3d84da28f"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LastSharedByUser" ma:index="12" nillable="true" ma:displayName="Last Shared By User" ma:hidden="true" ma:internalName="LastSharedByUser" ma:readOnly="true">
      <xsd:simpleType>
        <xsd:restriction base="dms:Note"/>
      </xsd:simpleType>
    </xsd:element>
    <xsd:element name="LastSharedByTime" ma:index="13" nillable="true" ma:displayName="Last Shared By Time" ma:hidden="true" ma:internalName="LastSharedByTime" ma:readOnly="true">
      <xsd:simpleType>
        <xsd:restriction base="dms:DateTim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0FB5453-596E-4CE8-BCCA-8DF4D5465AF4}">
  <ds:schemaRefs>
    <ds:schemaRef ds:uri="f577acbf-5b0b-4b4f-9948-268e97f8d3a4"/>
    <ds:schemaRef ds:uri="http://purl.org/dc/elements/1.1/"/>
    <ds:schemaRef ds:uri="http://www.w3.org/XML/1998/namespace"/>
    <ds:schemaRef ds:uri="http://schemas.microsoft.com/office/2006/documentManagement/types"/>
    <ds:schemaRef ds:uri="http://schemas.microsoft.com/office/infopath/2007/PartnerControls"/>
    <ds:schemaRef ds:uri="b1e4d6ee-9f6f-43f8-a618-24f3d84da28f"/>
    <ds:schemaRef ds:uri="http://purl.org/dc/dcmitype/"/>
    <ds:schemaRef ds:uri="http://schemas.openxmlformats.org/package/2006/metadata/core-properties"/>
    <ds:schemaRef ds:uri="http://schemas.microsoft.com/office/2006/metadata/properties"/>
    <ds:schemaRef ds:uri="http://purl.org/dc/terms/"/>
  </ds:schemaRefs>
</ds:datastoreItem>
</file>

<file path=customXml/itemProps2.xml><?xml version="1.0" encoding="utf-8"?>
<ds:datastoreItem xmlns:ds="http://schemas.openxmlformats.org/officeDocument/2006/customXml" ds:itemID="{2426A393-DB36-49FF-B8B1-6D5559B7ABF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577acbf-5b0b-4b4f-9948-268e97f8d3a4"/>
    <ds:schemaRef ds:uri="b1e4d6ee-9f6f-43f8-a618-24f3d84da28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1F48E296-90D9-4A92-A29D-759F46DCA7D9}">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5</vt:i4>
      </vt:variant>
    </vt:vector>
  </HeadingPairs>
  <TitlesOfParts>
    <vt:vector size="10" baseType="lpstr">
      <vt:lpstr>Scott's Add-in Start up guide</vt:lpstr>
      <vt:lpstr>Information</vt:lpstr>
      <vt:lpstr>Trial Balance</vt:lpstr>
      <vt:lpstr>Account Types</vt:lpstr>
      <vt:lpstr>Archived Accounts</vt:lpstr>
      <vt:lpstr>OrgId</vt:lpstr>
      <vt:lpstr>PeriodEnd</vt:lpstr>
      <vt:lpstr>typId</vt:lpstr>
      <vt:lpstr>XreCode</vt:lpstr>
      <vt:lpstr>YearStart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dc:creator>
  <cp:lastModifiedBy>David Clements</cp:lastModifiedBy>
  <cp:lastPrinted>2022-07-26T01:51:01Z</cp:lastPrinted>
  <dcterms:created xsi:type="dcterms:W3CDTF">2018-06-07T17:34:22Z</dcterms:created>
  <dcterms:modified xsi:type="dcterms:W3CDTF">2022-12-29T06:27:30Z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0x010100CD401524DC532D42A0E0ED886331A72B</vt:lpwstr>
  </property>
  <property fmtid="{D5CDD505-2E9C-101B-9397-08002B2CF9AE}" pid="3" name="MSIP_Label_f42aa342-8706-4288-bd11-ebb85995028c_Enabled">
    <vt:lpwstr>True</vt:lpwstr>
  </property>
  <property fmtid="{D5CDD505-2E9C-101B-9397-08002B2CF9AE}" pid="4" name="MSIP_Label_f42aa342-8706-4288-bd11-ebb85995028c_SiteId">
    <vt:lpwstr>72f988bf-86f1-41af-91ab-2d7cd011db47</vt:lpwstr>
  </property>
  <property fmtid="{D5CDD505-2E9C-101B-9397-08002B2CF9AE}" pid="5" name="MSIP_Label_f42aa342-8706-4288-bd11-ebb85995028c_Owner">
    <vt:lpwstr>t-dahop@microsoft.com</vt:lpwstr>
  </property>
  <property fmtid="{D5CDD505-2E9C-101B-9397-08002B2CF9AE}" pid="6" name="MSIP_Label_f42aa342-8706-4288-bd11-ebb85995028c_SetDate">
    <vt:lpwstr>2018-06-18T14:22:57.3833839Z</vt:lpwstr>
  </property>
  <property fmtid="{D5CDD505-2E9C-101B-9397-08002B2CF9AE}" pid="7" name="MSIP_Label_f42aa342-8706-4288-bd11-ebb85995028c_Name">
    <vt:lpwstr>General</vt:lpwstr>
  </property>
  <property fmtid="{D5CDD505-2E9C-101B-9397-08002B2CF9AE}" pid="8" name="MSIP_Label_f42aa342-8706-4288-bd11-ebb85995028c_Application">
    <vt:lpwstr>Microsoft Azure Information Protection</vt:lpwstr>
  </property>
  <property fmtid="{D5CDD505-2E9C-101B-9397-08002B2CF9AE}" pid="9" name="MSIP_Label_f42aa342-8706-4288-bd11-ebb85995028c_Extended_MSFT_Method">
    <vt:lpwstr>Automatic</vt:lpwstr>
  </property>
  <property fmtid="{D5CDD505-2E9C-101B-9397-08002B2CF9AE}" pid="10" name="Sensitivity">
    <vt:lpwstr>General</vt:lpwstr>
  </property>
</Properties>
</file>